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855" firstSheet="4" activeTab="4"/>
  </bookViews>
  <sheets>
    <sheet name="01 01 2014" sheetId="45" state="hidden" r:id="rId1"/>
    <sheet name="01012015" sheetId="57" state="hidden" r:id="rId2"/>
    <sheet name="0104" sheetId="58" state="hidden" r:id="rId3"/>
    <sheet name="0105" sheetId="59" state="hidden" r:id="rId4"/>
    <sheet name="01,07,2015" sheetId="61" r:id="rId5"/>
  </sheets>
  <definedNames>
    <definedName name="_xlnm.Print_Titles" localSheetId="4">'01,07,2015'!$A:$A,'01,07,2015'!$3:$4</definedName>
    <definedName name="_xlnm.Print_Titles" localSheetId="1">'01012015'!$A:$A</definedName>
    <definedName name="_xlnm.Print_Titles" localSheetId="2">'0104'!$A:$A</definedName>
    <definedName name="_xlnm.Print_Titles" localSheetId="3">'0105'!$A:$A</definedName>
    <definedName name="_xlnm.Print_Area" localSheetId="0">'01 01 2014'!$A$2:$Q$36</definedName>
    <definedName name="_xlnm.Print_Area" localSheetId="4">'01,07,2015'!$A$2:$V$37</definedName>
  </definedNames>
  <calcPr calcId="144525" fullCalcOnLoad="1"/>
</workbook>
</file>

<file path=xl/calcChain.xml><?xml version="1.0" encoding="utf-8"?>
<calcChain xmlns="http://schemas.openxmlformats.org/spreadsheetml/2006/main">
  <c r="S23" i="61"/>
  <c r="R23"/>
  <c r="Q23"/>
  <c r="U23"/>
  <c r="L28"/>
  <c r="E28"/>
  <c r="K28"/>
  <c r="J28"/>
  <c r="N28"/>
  <c r="L29"/>
  <c r="V36"/>
  <c r="O36"/>
  <c r="E36"/>
  <c r="H36"/>
  <c r="D36"/>
  <c r="C36"/>
  <c r="B36"/>
  <c r="V35"/>
  <c r="U35"/>
  <c r="T35"/>
  <c r="O35"/>
  <c r="E35"/>
  <c r="D35"/>
  <c r="C35"/>
  <c r="G35"/>
  <c r="B35"/>
  <c r="V34"/>
  <c r="Q34"/>
  <c r="C34"/>
  <c r="O34"/>
  <c r="E34"/>
  <c r="D34"/>
  <c r="H34"/>
  <c r="B34"/>
  <c r="S33"/>
  <c r="R33"/>
  <c r="Q33"/>
  <c r="U33"/>
  <c r="L33"/>
  <c r="O33"/>
  <c r="K33"/>
  <c r="D33"/>
  <c r="B33"/>
  <c r="V32"/>
  <c r="O32"/>
  <c r="N32"/>
  <c r="M32"/>
  <c r="E32"/>
  <c r="D32"/>
  <c r="C32"/>
  <c r="G32"/>
  <c r="B32"/>
  <c r="V31"/>
  <c r="U31"/>
  <c r="T31"/>
  <c r="O31"/>
  <c r="N31"/>
  <c r="M31"/>
  <c r="E31"/>
  <c r="D31"/>
  <c r="C31"/>
  <c r="B31"/>
  <c r="V30"/>
  <c r="U30"/>
  <c r="T30"/>
  <c r="O30"/>
  <c r="N30"/>
  <c r="M30"/>
  <c r="E30"/>
  <c r="D30"/>
  <c r="C30"/>
  <c r="B30"/>
  <c r="S29"/>
  <c r="R29"/>
  <c r="Q29"/>
  <c r="P29"/>
  <c r="K29"/>
  <c r="J29"/>
  <c r="C29"/>
  <c r="I29"/>
  <c r="D29"/>
  <c r="B29"/>
  <c r="V28"/>
  <c r="U28"/>
  <c r="T28"/>
  <c r="M28"/>
  <c r="D28"/>
  <c r="B28"/>
  <c r="O27"/>
  <c r="N27"/>
  <c r="M27"/>
  <c r="E27"/>
  <c r="G27"/>
  <c r="D27"/>
  <c r="C27"/>
  <c r="B27"/>
  <c r="V26"/>
  <c r="T26"/>
  <c r="Q26"/>
  <c r="U26"/>
  <c r="O26"/>
  <c r="N26"/>
  <c r="M26"/>
  <c r="E26"/>
  <c r="G26"/>
  <c r="D26"/>
  <c r="C26"/>
  <c r="B26"/>
  <c r="V25"/>
  <c r="U25"/>
  <c r="T25"/>
  <c r="O25"/>
  <c r="E25"/>
  <c r="G25"/>
  <c r="D25"/>
  <c r="H25"/>
  <c r="C25"/>
  <c r="B25"/>
  <c r="V24"/>
  <c r="Q24"/>
  <c r="C24"/>
  <c r="O24"/>
  <c r="E24"/>
  <c r="D24"/>
  <c r="H24"/>
  <c r="B24"/>
  <c r="T23"/>
  <c r="O23"/>
  <c r="N23"/>
  <c r="M23"/>
  <c r="E23"/>
  <c r="D23"/>
  <c r="C23"/>
  <c r="B23"/>
  <c r="V22"/>
  <c r="T22"/>
  <c r="U22"/>
  <c r="P22"/>
  <c r="N22"/>
  <c r="O22"/>
  <c r="I22"/>
  <c r="B22"/>
  <c r="B21"/>
  <c r="E22"/>
  <c r="C22"/>
  <c r="S21"/>
  <c r="R21"/>
  <c r="R5"/>
  <c r="R37"/>
  <c r="P21"/>
  <c r="L21"/>
  <c r="N21"/>
  <c r="J21"/>
  <c r="O20"/>
  <c r="E20"/>
  <c r="D20"/>
  <c r="H20"/>
  <c r="C20"/>
  <c r="B20"/>
  <c r="V19"/>
  <c r="U19"/>
  <c r="T19"/>
  <c r="O19"/>
  <c r="N19"/>
  <c r="M19"/>
  <c r="E19"/>
  <c r="G19"/>
  <c r="D19"/>
  <c r="C19"/>
  <c r="B19"/>
  <c r="V18"/>
  <c r="U18"/>
  <c r="T18"/>
  <c r="O18"/>
  <c r="N18"/>
  <c r="M18"/>
  <c r="E18"/>
  <c r="G18"/>
  <c r="D18"/>
  <c r="C18"/>
  <c r="B18"/>
  <c r="V17"/>
  <c r="U17"/>
  <c r="T17"/>
  <c r="O17"/>
  <c r="N17"/>
  <c r="M17"/>
  <c r="E17"/>
  <c r="D17"/>
  <c r="C17"/>
  <c r="B17"/>
  <c r="S16"/>
  <c r="R16"/>
  <c r="V16"/>
  <c r="Q16"/>
  <c r="P16"/>
  <c r="L16"/>
  <c r="N16"/>
  <c r="K16"/>
  <c r="J16"/>
  <c r="I16"/>
  <c r="D16"/>
  <c r="B16"/>
  <c r="O15"/>
  <c r="E15"/>
  <c r="D15"/>
  <c r="H15"/>
  <c r="C15"/>
  <c r="B15"/>
  <c r="V14"/>
  <c r="U14"/>
  <c r="T14"/>
  <c r="O14"/>
  <c r="I14"/>
  <c r="E14"/>
  <c r="D14"/>
  <c r="H14"/>
  <c r="C14"/>
  <c r="B14"/>
  <c r="V13"/>
  <c r="U13"/>
  <c r="T13"/>
  <c r="O13"/>
  <c r="I13"/>
  <c r="E13"/>
  <c r="G13"/>
  <c r="D13"/>
  <c r="C13"/>
  <c r="B13"/>
  <c r="B12"/>
  <c r="S12"/>
  <c r="R12"/>
  <c r="Q12"/>
  <c r="U12"/>
  <c r="P12"/>
  <c r="K12"/>
  <c r="J12"/>
  <c r="I12"/>
  <c r="V11"/>
  <c r="U11"/>
  <c r="T11"/>
  <c r="O11"/>
  <c r="E11"/>
  <c r="D11"/>
  <c r="H11"/>
  <c r="C11"/>
  <c r="B11"/>
  <c r="V10"/>
  <c r="Q10"/>
  <c r="C10"/>
  <c r="O10"/>
  <c r="N10"/>
  <c r="M10"/>
  <c r="E10"/>
  <c r="G10"/>
  <c r="D10"/>
  <c r="B10"/>
  <c r="V9"/>
  <c r="O9"/>
  <c r="N9"/>
  <c r="M9"/>
  <c r="E9"/>
  <c r="D9"/>
  <c r="C9"/>
  <c r="B9"/>
  <c r="S8"/>
  <c r="R8"/>
  <c r="T8"/>
  <c r="Q8"/>
  <c r="C8"/>
  <c r="P8"/>
  <c r="N8"/>
  <c r="L8"/>
  <c r="K8"/>
  <c r="J8"/>
  <c r="I8"/>
  <c r="B8"/>
  <c r="V7"/>
  <c r="U7"/>
  <c r="T7"/>
  <c r="O7"/>
  <c r="N7"/>
  <c r="M7"/>
  <c r="E7"/>
  <c r="G7"/>
  <c r="D7"/>
  <c r="C7"/>
  <c r="B7"/>
  <c r="V6"/>
  <c r="U6"/>
  <c r="T6"/>
  <c r="O6"/>
  <c r="N6"/>
  <c r="M6"/>
  <c r="E6"/>
  <c r="G6"/>
  <c r="D6"/>
  <c r="C6"/>
  <c r="B6"/>
  <c r="P5"/>
  <c r="P37"/>
  <c r="J5"/>
  <c r="J37"/>
  <c r="B5"/>
  <c r="V4"/>
  <c r="Q4"/>
  <c r="N4"/>
  <c r="U4"/>
  <c r="M4"/>
  <c r="T4"/>
  <c r="L4"/>
  <c r="S4"/>
  <c r="K4"/>
  <c r="R4"/>
  <c r="J4"/>
  <c r="I4"/>
  <c r="P4"/>
  <c r="H4"/>
  <c r="R22" i="59"/>
  <c r="T22"/>
  <c r="L22"/>
  <c r="O22"/>
  <c r="K22"/>
  <c r="V36"/>
  <c r="O36"/>
  <c r="E36"/>
  <c r="H36"/>
  <c r="D36"/>
  <c r="C36"/>
  <c r="B36"/>
  <c r="V35"/>
  <c r="U35"/>
  <c r="T35"/>
  <c r="O35"/>
  <c r="E35"/>
  <c r="D35"/>
  <c r="H35"/>
  <c r="C35"/>
  <c r="B35"/>
  <c r="V34"/>
  <c r="Q34"/>
  <c r="C34"/>
  <c r="O34"/>
  <c r="E34"/>
  <c r="D34"/>
  <c r="H34"/>
  <c r="B34"/>
  <c r="S33"/>
  <c r="R33"/>
  <c r="Q33"/>
  <c r="C33"/>
  <c r="L33"/>
  <c r="O33"/>
  <c r="K33"/>
  <c r="E33"/>
  <c r="B33"/>
  <c r="V32"/>
  <c r="O32"/>
  <c r="N32"/>
  <c r="M32"/>
  <c r="E32"/>
  <c r="G32"/>
  <c r="D32"/>
  <c r="C32"/>
  <c r="B32"/>
  <c r="V31"/>
  <c r="U31"/>
  <c r="T31"/>
  <c r="O31"/>
  <c r="N31"/>
  <c r="M31"/>
  <c r="E31"/>
  <c r="D31"/>
  <c r="C31"/>
  <c r="B31"/>
  <c r="V30"/>
  <c r="U30"/>
  <c r="T30"/>
  <c r="O30"/>
  <c r="N30"/>
  <c r="M30"/>
  <c r="E30"/>
  <c r="D30"/>
  <c r="D29"/>
  <c r="C30"/>
  <c r="B30"/>
  <c r="S29"/>
  <c r="R29"/>
  <c r="V29"/>
  <c r="Q29"/>
  <c r="P29"/>
  <c r="L29"/>
  <c r="N29"/>
  <c r="K29"/>
  <c r="J29"/>
  <c r="C29"/>
  <c r="I29"/>
  <c r="B29"/>
  <c r="V28"/>
  <c r="U28"/>
  <c r="T28"/>
  <c r="O28"/>
  <c r="N28"/>
  <c r="M28"/>
  <c r="E28"/>
  <c r="G28"/>
  <c r="D28"/>
  <c r="C28"/>
  <c r="B28"/>
  <c r="O27"/>
  <c r="N27"/>
  <c r="M27"/>
  <c r="E27"/>
  <c r="G27"/>
  <c r="D27"/>
  <c r="C27"/>
  <c r="B27"/>
  <c r="V26"/>
  <c r="T26"/>
  <c r="Q26"/>
  <c r="U26"/>
  <c r="O26"/>
  <c r="N26"/>
  <c r="M26"/>
  <c r="E26"/>
  <c r="G26"/>
  <c r="D26"/>
  <c r="C26"/>
  <c r="B26"/>
  <c r="V25"/>
  <c r="U25"/>
  <c r="T25"/>
  <c r="O25"/>
  <c r="E25"/>
  <c r="G25"/>
  <c r="D25"/>
  <c r="C25"/>
  <c r="B25"/>
  <c r="V24"/>
  <c r="Q24"/>
  <c r="C24"/>
  <c r="O24"/>
  <c r="E24"/>
  <c r="D24"/>
  <c r="H24"/>
  <c r="B24"/>
  <c r="V23"/>
  <c r="U23"/>
  <c r="T23"/>
  <c r="O23"/>
  <c r="N23"/>
  <c r="M23"/>
  <c r="E23"/>
  <c r="G23"/>
  <c r="D23"/>
  <c r="C23"/>
  <c r="B23"/>
  <c r="V22"/>
  <c r="Q22"/>
  <c r="U22"/>
  <c r="P22"/>
  <c r="N22"/>
  <c r="J22"/>
  <c r="I22"/>
  <c r="B22"/>
  <c r="B21"/>
  <c r="E22"/>
  <c r="G22"/>
  <c r="C22"/>
  <c r="S21"/>
  <c r="R21"/>
  <c r="P21"/>
  <c r="L21"/>
  <c r="N21"/>
  <c r="J21"/>
  <c r="O20"/>
  <c r="E20"/>
  <c r="D20"/>
  <c r="H20"/>
  <c r="C20"/>
  <c r="B20"/>
  <c r="V19"/>
  <c r="U19"/>
  <c r="T19"/>
  <c r="O19"/>
  <c r="N19"/>
  <c r="M19"/>
  <c r="E19"/>
  <c r="G19"/>
  <c r="D19"/>
  <c r="C19"/>
  <c r="B19"/>
  <c r="V18"/>
  <c r="U18"/>
  <c r="T18"/>
  <c r="O18"/>
  <c r="N18"/>
  <c r="M18"/>
  <c r="E18"/>
  <c r="G18"/>
  <c r="D18"/>
  <c r="H18"/>
  <c r="C18"/>
  <c r="B18"/>
  <c r="V17"/>
  <c r="U17"/>
  <c r="T17"/>
  <c r="O17"/>
  <c r="N17"/>
  <c r="M17"/>
  <c r="E17"/>
  <c r="G17"/>
  <c r="D17"/>
  <c r="D16"/>
  <c r="D12"/>
  <c r="C17"/>
  <c r="B17"/>
  <c r="S16"/>
  <c r="U16"/>
  <c r="R16"/>
  <c r="V16"/>
  <c r="Q16"/>
  <c r="P16"/>
  <c r="L16"/>
  <c r="N16"/>
  <c r="K16"/>
  <c r="K12"/>
  <c r="J16"/>
  <c r="C16"/>
  <c r="I16"/>
  <c r="B16"/>
  <c r="O15"/>
  <c r="E15"/>
  <c r="D15"/>
  <c r="H15"/>
  <c r="C15"/>
  <c r="B15"/>
  <c r="V14"/>
  <c r="U14"/>
  <c r="T14"/>
  <c r="O14"/>
  <c r="I14"/>
  <c r="E14"/>
  <c r="D14"/>
  <c r="C14"/>
  <c r="B14"/>
  <c r="V13"/>
  <c r="U13"/>
  <c r="T13"/>
  <c r="O13"/>
  <c r="I13"/>
  <c r="E13"/>
  <c r="G13"/>
  <c r="D13"/>
  <c r="C13"/>
  <c r="B13"/>
  <c r="S12"/>
  <c r="R12"/>
  <c r="Q12"/>
  <c r="C12"/>
  <c r="P12"/>
  <c r="L12"/>
  <c r="N12"/>
  <c r="J12"/>
  <c r="I12"/>
  <c r="B12"/>
  <c r="V11"/>
  <c r="U11"/>
  <c r="T11"/>
  <c r="O11"/>
  <c r="E11"/>
  <c r="D11"/>
  <c r="H11"/>
  <c r="C11"/>
  <c r="B11"/>
  <c r="V10"/>
  <c r="Q10"/>
  <c r="C10"/>
  <c r="O10"/>
  <c r="N10"/>
  <c r="M10"/>
  <c r="E10"/>
  <c r="G10"/>
  <c r="D10"/>
  <c r="H10"/>
  <c r="B10"/>
  <c r="V9"/>
  <c r="O9"/>
  <c r="N9"/>
  <c r="M9"/>
  <c r="E9"/>
  <c r="G9"/>
  <c r="D9"/>
  <c r="C9"/>
  <c r="B9"/>
  <c r="S8"/>
  <c r="R8"/>
  <c r="V8"/>
  <c r="Q8"/>
  <c r="P8"/>
  <c r="L8"/>
  <c r="N8"/>
  <c r="K8"/>
  <c r="J8"/>
  <c r="C8"/>
  <c r="I8"/>
  <c r="E8"/>
  <c r="G8"/>
  <c r="B8"/>
  <c r="V7"/>
  <c r="U7"/>
  <c r="T7"/>
  <c r="O7"/>
  <c r="N7"/>
  <c r="M7"/>
  <c r="E7"/>
  <c r="G7"/>
  <c r="D7"/>
  <c r="C7"/>
  <c r="B7"/>
  <c r="V6"/>
  <c r="U6"/>
  <c r="T6"/>
  <c r="O6"/>
  <c r="N6"/>
  <c r="M6"/>
  <c r="E6"/>
  <c r="G6"/>
  <c r="D6"/>
  <c r="C6"/>
  <c r="B6"/>
  <c r="B5"/>
  <c r="P5"/>
  <c r="P37"/>
  <c r="J5"/>
  <c r="J37"/>
  <c r="V4"/>
  <c r="Q4"/>
  <c r="N4"/>
  <c r="U4"/>
  <c r="M4"/>
  <c r="T4"/>
  <c r="L4"/>
  <c r="S4"/>
  <c r="K4"/>
  <c r="R4"/>
  <c r="J4"/>
  <c r="I4"/>
  <c r="P4"/>
  <c r="H4"/>
  <c r="H6" i="5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5"/>
  <c r="F6"/>
  <c r="F7"/>
  <c r="F8"/>
  <c r="F9"/>
  <c r="F10"/>
  <c r="F11"/>
  <c r="F12"/>
  <c r="F13"/>
  <c r="F14"/>
  <c r="F16"/>
  <c r="F17"/>
  <c r="F18"/>
  <c r="F19"/>
  <c r="F21"/>
  <c r="F22"/>
  <c r="F23"/>
  <c r="F25"/>
  <c r="F26"/>
  <c r="F27"/>
  <c r="F28"/>
  <c r="F29"/>
  <c r="F30"/>
  <c r="F31"/>
  <c r="F32"/>
  <c r="F33"/>
  <c r="F35"/>
  <c r="F37"/>
  <c r="F5"/>
  <c r="V6"/>
  <c r="V7"/>
  <c r="V8"/>
  <c r="V9"/>
  <c r="V10"/>
  <c r="V11"/>
  <c r="V12"/>
  <c r="V13"/>
  <c r="V14"/>
  <c r="V16"/>
  <c r="V17"/>
  <c r="V18"/>
  <c r="V19"/>
  <c r="V21"/>
  <c r="V22"/>
  <c r="V23"/>
  <c r="V24"/>
  <c r="V25"/>
  <c r="V26"/>
  <c r="V28"/>
  <c r="V29"/>
  <c r="V30"/>
  <c r="V31"/>
  <c r="V32"/>
  <c r="V33"/>
  <c r="V34"/>
  <c r="V35"/>
  <c r="V36"/>
  <c r="V37"/>
  <c r="V5"/>
  <c r="T6"/>
  <c r="T7"/>
  <c r="T8"/>
  <c r="T11"/>
  <c r="T13"/>
  <c r="T14"/>
  <c r="T16"/>
  <c r="T17"/>
  <c r="T18"/>
  <c r="T19"/>
  <c r="T21"/>
  <c r="T22"/>
  <c r="T23"/>
  <c r="T25"/>
  <c r="T26"/>
  <c r="T28"/>
  <c r="T29"/>
  <c r="T30"/>
  <c r="T31"/>
  <c r="T33"/>
  <c r="T35"/>
  <c r="R22"/>
  <c r="Q22"/>
  <c r="P2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5"/>
  <c r="I22"/>
  <c r="M6"/>
  <c r="M7"/>
  <c r="M8"/>
  <c r="M9"/>
  <c r="M10"/>
  <c r="M12"/>
  <c r="M16"/>
  <c r="M17"/>
  <c r="M18"/>
  <c r="M19"/>
  <c r="M21"/>
  <c r="M22"/>
  <c r="M23"/>
  <c r="M26"/>
  <c r="M27"/>
  <c r="M28"/>
  <c r="M29"/>
  <c r="M30"/>
  <c r="M31"/>
  <c r="M32"/>
  <c r="M37"/>
  <c r="M5"/>
  <c r="M4"/>
  <c r="I29"/>
  <c r="L22"/>
  <c r="K22"/>
  <c r="D22"/>
  <c r="J22"/>
  <c r="C22"/>
  <c r="E36"/>
  <c r="D36"/>
  <c r="C36"/>
  <c r="B36"/>
  <c r="U35"/>
  <c r="G35"/>
  <c r="E35"/>
  <c r="D35"/>
  <c r="D33"/>
  <c r="C35"/>
  <c r="B35"/>
  <c r="Q34"/>
  <c r="E34"/>
  <c r="D34"/>
  <c r="B34"/>
  <c r="S33"/>
  <c r="R33"/>
  <c r="L33"/>
  <c r="K33"/>
  <c r="B33"/>
  <c r="N32"/>
  <c r="E32"/>
  <c r="D32"/>
  <c r="C32"/>
  <c r="B32"/>
  <c r="U31"/>
  <c r="N31"/>
  <c r="E31"/>
  <c r="D31"/>
  <c r="C31"/>
  <c r="B31"/>
  <c r="U30"/>
  <c r="N30"/>
  <c r="E30"/>
  <c r="D30"/>
  <c r="D29"/>
  <c r="C30"/>
  <c r="B30"/>
  <c r="S29"/>
  <c r="R29"/>
  <c r="Q29"/>
  <c r="P29"/>
  <c r="L29"/>
  <c r="K29"/>
  <c r="J29"/>
  <c r="E29"/>
  <c r="C29"/>
  <c r="U28"/>
  <c r="E28"/>
  <c r="D28"/>
  <c r="C28"/>
  <c r="B28"/>
  <c r="N27"/>
  <c r="E27"/>
  <c r="D27"/>
  <c r="C27"/>
  <c r="B27"/>
  <c r="Q26"/>
  <c r="U26"/>
  <c r="N26"/>
  <c r="E26"/>
  <c r="G26"/>
  <c r="D26"/>
  <c r="C26"/>
  <c r="B26"/>
  <c r="U25"/>
  <c r="E25"/>
  <c r="D25"/>
  <c r="C25"/>
  <c r="B25"/>
  <c r="Q24"/>
  <c r="E24"/>
  <c r="D24"/>
  <c r="B24"/>
  <c r="U23"/>
  <c r="N23"/>
  <c r="E23"/>
  <c r="D23"/>
  <c r="C23"/>
  <c r="B23"/>
  <c r="U22"/>
  <c r="R21"/>
  <c r="B22"/>
  <c r="S21"/>
  <c r="Q21"/>
  <c r="I21"/>
  <c r="E20"/>
  <c r="D20"/>
  <c r="C20"/>
  <c r="B20"/>
  <c r="U19"/>
  <c r="N19"/>
  <c r="E19"/>
  <c r="D19"/>
  <c r="C19"/>
  <c r="B19"/>
  <c r="U18"/>
  <c r="N18"/>
  <c r="E18"/>
  <c r="D18"/>
  <c r="C18"/>
  <c r="B18"/>
  <c r="U17"/>
  <c r="N17"/>
  <c r="E17"/>
  <c r="D17"/>
  <c r="D16"/>
  <c r="C17"/>
  <c r="B17"/>
  <c r="B16"/>
  <c r="S16"/>
  <c r="R16"/>
  <c r="Q16"/>
  <c r="Q12"/>
  <c r="P16"/>
  <c r="L16"/>
  <c r="K16"/>
  <c r="J16"/>
  <c r="I16"/>
  <c r="E15"/>
  <c r="D15"/>
  <c r="U14"/>
  <c r="I14"/>
  <c r="E14"/>
  <c r="D14"/>
  <c r="C14"/>
  <c r="B14"/>
  <c r="U13"/>
  <c r="I13"/>
  <c r="E13"/>
  <c r="D13"/>
  <c r="C13"/>
  <c r="B13"/>
  <c r="R12"/>
  <c r="L12"/>
  <c r="K12"/>
  <c r="J12"/>
  <c r="I12"/>
  <c r="U11"/>
  <c r="E11"/>
  <c r="D11"/>
  <c r="C11"/>
  <c r="B11"/>
  <c r="Q10"/>
  <c r="N10"/>
  <c r="E10"/>
  <c r="D10"/>
  <c r="C10"/>
  <c r="B10"/>
  <c r="N9"/>
  <c r="E9"/>
  <c r="E8"/>
  <c r="D9"/>
  <c r="B9"/>
  <c r="B8"/>
  <c r="S8"/>
  <c r="R8"/>
  <c r="L8"/>
  <c r="K8"/>
  <c r="J8"/>
  <c r="I8"/>
  <c r="U7"/>
  <c r="N7"/>
  <c r="E7"/>
  <c r="D7"/>
  <c r="C7"/>
  <c r="B7"/>
  <c r="U6"/>
  <c r="N6"/>
  <c r="E6"/>
  <c r="D6"/>
  <c r="C6"/>
  <c r="B6"/>
  <c r="V4"/>
  <c r="T4"/>
  <c r="Q4"/>
  <c r="J4"/>
  <c r="N4"/>
  <c r="U4"/>
  <c r="L4"/>
  <c r="S4"/>
  <c r="K4"/>
  <c r="R4"/>
  <c r="I4"/>
  <c r="P4"/>
  <c r="H4"/>
  <c r="S22" i="57"/>
  <c r="V22"/>
  <c r="Q22"/>
  <c r="L22"/>
  <c r="H4"/>
  <c r="V6"/>
  <c r="V7"/>
  <c r="V11"/>
  <c r="V13"/>
  <c r="V14"/>
  <c r="V17"/>
  <c r="V18"/>
  <c r="V19"/>
  <c r="V23"/>
  <c r="V25"/>
  <c r="V28"/>
  <c r="V30"/>
  <c r="V31"/>
  <c r="V32"/>
  <c r="V35"/>
  <c r="V36"/>
  <c r="V4"/>
  <c r="O6"/>
  <c r="O7"/>
  <c r="O9"/>
  <c r="O10"/>
  <c r="O11"/>
  <c r="O13"/>
  <c r="O14"/>
  <c r="O15"/>
  <c r="O17"/>
  <c r="O18"/>
  <c r="O19"/>
  <c r="O20"/>
  <c r="O23"/>
  <c r="O24"/>
  <c r="O25"/>
  <c r="O26"/>
  <c r="O27"/>
  <c r="O30"/>
  <c r="O31"/>
  <c r="O32"/>
  <c r="O34"/>
  <c r="O35"/>
  <c r="O36"/>
  <c r="U6"/>
  <c r="U7"/>
  <c r="U11"/>
  <c r="U13"/>
  <c r="U14"/>
  <c r="U17"/>
  <c r="U18"/>
  <c r="U19"/>
  <c r="U23"/>
  <c r="U25"/>
  <c r="U28"/>
  <c r="U30"/>
  <c r="U31"/>
  <c r="U32"/>
  <c r="U35"/>
  <c r="U36"/>
  <c r="T25"/>
  <c r="T26"/>
  <c r="T30"/>
  <c r="T31"/>
  <c r="T17"/>
  <c r="T18"/>
  <c r="T19"/>
  <c r="T23"/>
  <c r="T13"/>
  <c r="T14"/>
  <c r="T11"/>
  <c r="T6"/>
  <c r="T7"/>
  <c r="N23"/>
  <c r="N24"/>
  <c r="N26"/>
  <c r="N27"/>
  <c r="N30"/>
  <c r="N31"/>
  <c r="N32"/>
  <c r="M23"/>
  <c r="M24"/>
  <c r="M26"/>
  <c r="M27"/>
  <c r="M28"/>
  <c r="M30"/>
  <c r="M31"/>
  <c r="M32"/>
  <c r="N17"/>
  <c r="N18"/>
  <c r="N19"/>
  <c r="M17"/>
  <c r="M18"/>
  <c r="M19"/>
  <c r="N22"/>
  <c r="N7"/>
  <c r="N9"/>
  <c r="N10"/>
  <c r="N6"/>
  <c r="M9"/>
  <c r="M10"/>
  <c r="M7"/>
  <c r="M6"/>
  <c r="G36"/>
  <c r="E36"/>
  <c r="H36"/>
  <c r="D36"/>
  <c r="C36"/>
  <c r="B36"/>
  <c r="E35"/>
  <c r="D35"/>
  <c r="C35"/>
  <c r="B35"/>
  <c r="Q34"/>
  <c r="V34"/>
  <c r="C34"/>
  <c r="E34"/>
  <c r="H34"/>
  <c r="D34"/>
  <c r="B34"/>
  <c r="B33"/>
  <c r="S33"/>
  <c r="R33"/>
  <c r="L33"/>
  <c r="O33"/>
  <c r="K33"/>
  <c r="E32"/>
  <c r="H32"/>
  <c r="D32"/>
  <c r="C32"/>
  <c r="B32"/>
  <c r="E31"/>
  <c r="D31"/>
  <c r="C31"/>
  <c r="G31"/>
  <c r="B31"/>
  <c r="F31"/>
  <c r="E30"/>
  <c r="H30"/>
  <c r="D30"/>
  <c r="C30"/>
  <c r="G30"/>
  <c r="B30"/>
  <c r="F30"/>
  <c r="S29"/>
  <c r="T29"/>
  <c r="R29"/>
  <c r="Q29"/>
  <c r="P29"/>
  <c r="L29"/>
  <c r="O29"/>
  <c r="K29"/>
  <c r="J29"/>
  <c r="I29"/>
  <c r="E29"/>
  <c r="D29"/>
  <c r="C29"/>
  <c r="G29"/>
  <c r="B29"/>
  <c r="F29"/>
  <c r="K28"/>
  <c r="D28"/>
  <c r="J28"/>
  <c r="O28"/>
  <c r="E28"/>
  <c r="H28"/>
  <c r="C28"/>
  <c r="B28"/>
  <c r="Q27"/>
  <c r="C27"/>
  <c r="E27"/>
  <c r="F27"/>
  <c r="D27"/>
  <c r="B27"/>
  <c r="Q26"/>
  <c r="V26"/>
  <c r="E26"/>
  <c r="H26"/>
  <c r="D26"/>
  <c r="C26"/>
  <c r="G26"/>
  <c r="B26"/>
  <c r="E25"/>
  <c r="F25"/>
  <c r="D25"/>
  <c r="B25"/>
  <c r="Q24"/>
  <c r="V24"/>
  <c r="E24"/>
  <c r="H24"/>
  <c r="D24"/>
  <c r="C24"/>
  <c r="B24"/>
  <c r="E23"/>
  <c r="F23"/>
  <c r="D23"/>
  <c r="C23"/>
  <c r="B23"/>
  <c r="R22"/>
  <c r="R21"/>
  <c r="R5"/>
  <c r="R37"/>
  <c r="P22"/>
  <c r="K22"/>
  <c r="D22"/>
  <c r="J22"/>
  <c r="I22"/>
  <c r="B22"/>
  <c r="E22"/>
  <c r="C22"/>
  <c r="S21"/>
  <c r="T21"/>
  <c r="Q21"/>
  <c r="C21"/>
  <c r="P21"/>
  <c r="L21"/>
  <c r="O21"/>
  <c r="K21"/>
  <c r="J21"/>
  <c r="I21"/>
  <c r="Q20"/>
  <c r="V20"/>
  <c r="E20"/>
  <c r="D20"/>
  <c r="B20"/>
  <c r="E19"/>
  <c r="F19"/>
  <c r="D19"/>
  <c r="C19"/>
  <c r="B19"/>
  <c r="E18"/>
  <c r="D18"/>
  <c r="C18"/>
  <c r="B18"/>
  <c r="E17"/>
  <c r="H17"/>
  <c r="D17"/>
  <c r="D16"/>
  <c r="C17"/>
  <c r="B17"/>
  <c r="S16"/>
  <c r="R16"/>
  <c r="Q16"/>
  <c r="P16"/>
  <c r="L16"/>
  <c r="L12"/>
  <c r="K16"/>
  <c r="J16"/>
  <c r="I16"/>
  <c r="B16"/>
  <c r="E15"/>
  <c r="D15"/>
  <c r="E14"/>
  <c r="G14"/>
  <c r="D14"/>
  <c r="C14"/>
  <c r="E13"/>
  <c r="D13"/>
  <c r="D12"/>
  <c r="C13"/>
  <c r="G13"/>
  <c r="R12"/>
  <c r="K12"/>
  <c r="J12"/>
  <c r="E11"/>
  <c r="F11"/>
  <c r="D11"/>
  <c r="D8"/>
  <c r="C11"/>
  <c r="G11"/>
  <c r="B11"/>
  <c r="Q10"/>
  <c r="V10"/>
  <c r="E10"/>
  <c r="H10"/>
  <c r="D10"/>
  <c r="C10"/>
  <c r="G10"/>
  <c r="B10"/>
  <c r="E9"/>
  <c r="D9"/>
  <c r="S8"/>
  <c r="R8"/>
  <c r="L8"/>
  <c r="N8"/>
  <c r="K8"/>
  <c r="K5"/>
  <c r="K37"/>
  <c r="D37"/>
  <c r="J8"/>
  <c r="I8"/>
  <c r="E8"/>
  <c r="E7"/>
  <c r="H7"/>
  <c r="D7"/>
  <c r="C7"/>
  <c r="B7"/>
  <c r="E6"/>
  <c r="D6"/>
  <c r="C6"/>
  <c r="G6"/>
  <c r="B6"/>
  <c r="J5"/>
  <c r="J37"/>
  <c r="T4"/>
  <c r="Q4"/>
  <c r="J4"/>
  <c r="N4"/>
  <c r="U4"/>
  <c r="L4"/>
  <c r="S4"/>
  <c r="K4"/>
  <c r="R4"/>
  <c r="I4"/>
  <c r="P4"/>
  <c r="H4" i="45"/>
  <c r="I4"/>
  <c r="J4"/>
  <c r="L4"/>
  <c r="M4"/>
  <c r="N4"/>
  <c r="O4"/>
  <c r="P4"/>
  <c r="Q4"/>
  <c r="B6"/>
  <c r="C6"/>
  <c r="D6"/>
  <c r="F6"/>
  <c r="K6"/>
  <c r="L6"/>
  <c r="P6"/>
  <c r="Q6"/>
  <c r="C7"/>
  <c r="H7"/>
  <c r="H5"/>
  <c r="H36"/>
  <c r="I7"/>
  <c r="J7"/>
  <c r="K7"/>
  <c r="L7"/>
  <c r="N7"/>
  <c r="Q7"/>
  <c r="O7"/>
  <c r="B8"/>
  <c r="B7"/>
  <c r="C8"/>
  <c r="D8"/>
  <c r="D7"/>
  <c r="F8"/>
  <c r="K8"/>
  <c r="L8"/>
  <c r="M8"/>
  <c r="M7"/>
  <c r="B9"/>
  <c r="C9"/>
  <c r="D9"/>
  <c r="G9"/>
  <c r="B10"/>
  <c r="C10"/>
  <c r="D10"/>
  <c r="E10"/>
  <c r="F10"/>
  <c r="P10"/>
  <c r="Q10"/>
  <c r="H11"/>
  <c r="J11"/>
  <c r="K11"/>
  <c r="N11"/>
  <c r="B12"/>
  <c r="C12"/>
  <c r="D12"/>
  <c r="F12"/>
  <c r="H12"/>
  <c r="P12"/>
  <c r="Q12"/>
  <c r="B13"/>
  <c r="C13"/>
  <c r="D13"/>
  <c r="E13"/>
  <c r="F13"/>
  <c r="H13"/>
  <c r="P13"/>
  <c r="Q13"/>
  <c r="B14"/>
  <c r="C14"/>
  <c r="D14"/>
  <c r="M14"/>
  <c r="M11"/>
  <c r="H15"/>
  <c r="I15"/>
  <c r="I11"/>
  <c r="L11"/>
  <c r="J15"/>
  <c r="K15"/>
  <c r="M15"/>
  <c r="N15"/>
  <c r="O15"/>
  <c r="O11"/>
  <c r="Q15"/>
  <c r="B16"/>
  <c r="C16"/>
  <c r="C15"/>
  <c r="C11"/>
  <c r="D16"/>
  <c r="E16"/>
  <c r="K16"/>
  <c r="L16"/>
  <c r="P16"/>
  <c r="Q16"/>
  <c r="B17"/>
  <c r="B15"/>
  <c r="C17"/>
  <c r="D17"/>
  <c r="E17"/>
  <c r="F17"/>
  <c r="K17"/>
  <c r="L17"/>
  <c r="P17"/>
  <c r="Q17"/>
  <c r="B18"/>
  <c r="C18"/>
  <c r="F18"/>
  <c r="D18"/>
  <c r="E18"/>
  <c r="K18"/>
  <c r="L18"/>
  <c r="P18"/>
  <c r="Q18"/>
  <c r="B19"/>
  <c r="C19"/>
  <c r="D19"/>
  <c r="H20"/>
  <c r="I20"/>
  <c r="J20"/>
  <c r="K20"/>
  <c r="L20"/>
  <c r="N20"/>
  <c r="J21"/>
  <c r="K21"/>
  <c r="L21"/>
  <c r="M21"/>
  <c r="M20"/>
  <c r="N21"/>
  <c r="C21"/>
  <c r="C20"/>
  <c r="O21"/>
  <c r="O20"/>
  <c r="Q21"/>
  <c r="B22"/>
  <c r="C22"/>
  <c r="F22"/>
  <c r="D22"/>
  <c r="E22"/>
  <c r="K22"/>
  <c r="L22"/>
  <c r="P22"/>
  <c r="Q22"/>
  <c r="B23"/>
  <c r="C23"/>
  <c r="D23"/>
  <c r="E23"/>
  <c r="F23"/>
  <c r="K23"/>
  <c r="L23"/>
  <c r="P23"/>
  <c r="Q23"/>
  <c r="B24"/>
  <c r="C24"/>
  <c r="F24"/>
  <c r="D24"/>
  <c r="E24"/>
  <c r="K24"/>
  <c r="L24"/>
  <c r="P24"/>
  <c r="Q24"/>
  <c r="B25"/>
  <c r="C25"/>
  <c r="D25"/>
  <c r="E25"/>
  <c r="F25"/>
  <c r="K25"/>
  <c r="L25"/>
  <c r="P25"/>
  <c r="Q25"/>
  <c r="B26"/>
  <c r="C26"/>
  <c r="F26"/>
  <c r="D26"/>
  <c r="E26"/>
  <c r="K26"/>
  <c r="L26"/>
  <c r="B27"/>
  <c r="C27"/>
  <c r="D27"/>
  <c r="E27"/>
  <c r="F27"/>
  <c r="K27"/>
  <c r="L27"/>
  <c r="Q27"/>
  <c r="H28"/>
  <c r="I28"/>
  <c r="M28"/>
  <c r="N28"/>
  <c r="O28"/>
  <c r="P28"/>
  <c r="Q28"/>
  <c r="B29"/>
  <c r="C29"/>
  <c r="C28"/>
  <c r="D29"/>
  <c r="E29"/>
  <c r="K29"/>
  <c r="L29"/>
  <c r="P29"/>
  <c r="Q29"/>
  <c r="B30"/>
  <c r="B28"/>
  <c r="C30"/>
  <c r="D30"/>
  <c r="E30"/>
  <c r="F30"/>
  <c r="J30"/>
  <c r="J28"/>
  <c r="K30"/>
  <c r="L30"/>
  <c r="P30"/>
  <c r="Q30"/>
  <c r="B31"/>
  <c r="C31"/>
  <c r="D31"/>
  <c r="E31"/>
  <c r="F31"/>
  <c r="K31"/>
  <c r="L31"/>
  <c r="Q31"/>
  <c r="I32"/>
  <c r="J32"/>
  <c r="N32"/>
  <c r="O32"/>
  <c r="Q32"/>
  <c r="B33"/>
  <c r="B32"/>
  <c r="C33"/>
  <c r="C32"/>
  <c r="D33"/>
  <c r="D32"/>
  <c r="B34"/>
  <c r="C34"/>
  <c r="F34"/>
  <c r="D34"/>
  <c r="E34"/>
  <c r="Q34"/>
  <c r="B35"/>
  <c r="C35"/>
  <c r="F35"/>
  <c r="D35"/>
  <c r="E35"/>
  <c r="G35"/>
  <c r="Q35"/>
  <c r="D33" i="57"/>
  <c r="F26"/>
  <c r="D21"/>
  <c r="D5"/>
  <c r="G32"/>
  <c r="F24"/>
  <c r="G22"/>
  <c r="Q12"/>
  <c r="C12"/>
  <c r="C16"/>
  <c r="G7"/>
  <c r="G18"/>
  <c r="E16"/>
  <c r="E12"/>
  <c r="G17"/>
  <c r="G35"/>
  <c r="E33"/>
  <c r="F32"/>
  <c r="F28"/>
  <c r="G27"/>
  <c r="G23"/>
  <c r="G19"/>
  <c r="F10"/>
  <c r="L5"/>
  <c r="L37"/>
  <c r="N37"/>
  <c r="M8"/>
  <c r="F7"/>
  <c r="C25"/>
  <c r="G25"/>
  <c r="Q33"/>
  <c r="C33"/>
  <c r="F16"/>
  <c r="I14"/>
  <c r="B14"/>
  <c r="F14"/>
  <c r="I13"/>
  <c r="B13"/>
  <c r="F13"/>
  <c r="P15"/>
  <c r="B15"/>
  <c r="P12"/>
  <c r="Q15"/>
  <c r="V15"/>
  <c r="C15"/>
  <c r="P9"/>
  <c r="P8"/>
  <c r="T8"/>
  <c r="P5"/>
  <c r="P37"/>
  <c r="B9"/>
  <c r="Q9"/>
  <c r="B8"/>
  <c r="F9"/>
  <c r="F8"/>
  <c r="H35"/>
  <c r="H29"/>
  <c r="H31"/>
  <c r="H23"/>
  <c r="H22"/>
  <c r="H19"/>
  <c r="H18"/>
  <c r="V16"/>
  <c r="H14"/>
  <c r="H13"/>
  <c r="H11"/>
  <c r="H6"/>
  <c r="G33"/>
  <c r="H12"/>
  <c r="G12"/>
  <c r="G16"/>
  <c r="F17"/>
  <c r="F6"/>
  <c r="V9"/>
  <c r="C9"/>
  <c r="G9"/>
  <c r="Q8"/>
  <c r="E32" i="45"/>
  <c r="F32"/>
  <c r="L28"/>
  <c r="K28"/>
  <c r="Q11"/>
  <c r="P11"/>
  <c r="B11"/>
  <c r="M5"/>
  <c r="M36"/>
  <c r="P7"/>
  <c r="F7"/>
  <c r="E7"/>
  <c r="B36"/>
  <c r="B12" i="57"/>
  <c r="I12"/>
  <c r="O37"/>
  <c r="Q20" i="45"/>
  <c r="P20"/>
  <c r="O5"/>
  <c r="I5"/>
  <c r="I36"/>
  <c r="C36"/>
  <c r="C5"/>
  <c r="D28"/>
  <c r="D21"/>
  <c r="B21"/>
  <c r="B20"/>
  <c r="B5"/>
  <c r="D15"/>
  <c r="N5"/>
  <c r="N36"/>
  <c r="J5"/>
  <c r="O5" i="57"/>
  <c r="N5"/>
  <c r="H33"/>
  <c r="H16"/>
  <c r="F29" i="45"/>
  <c r="P21"/>
  <c r="F16"/>
  <c r="P15"/>
  <c r="L15"/>
  <c r="E12"/>
  <c r="E8"/>
  <c r="E6"/>
  <c r="H15" i="57"/>
  <c r="B21"/>
  <c r="F22"/>
  <c r="V33"/>
  <c r="V8"/>
  <c r="H9"/>
  <c r="O12"/>
  <c r="N12"/>
  <c r="M16"/>
  <c r="N16"/>
  <c r="M29"/>
  <c r="M22"/>
  <c r="N28"/>
  <c r="N21"/>
  <c r="T16"/>
  <c r="T22"/>
  <c r="U33"/>
  <c r="U29"/>
  <c r="U26"/>
  <c r="U21"/>
  <c r="U16"/>
  <c r="O22"/>
  <c r="O16"/>
  <c r="O8"/>
  <c r="V29"/>
  <c r="V27"/>
  <c r="V21"/>
  <c r="H27"/>
  <c r="H25"/>
  <c r="S12"/>
  <c r="S5"/>
  <c r="F18"/>
  <c r="C20"/>
  <c r="H20"/>
  <c r="E21"/>
  <c r="G24"/>
  <c r="G28"/>
  <c r="M21"/>
  <c r="N29"/>
  <c r="U22"/>
  <c r="S37"/>
  <c r="T5"/>
  <c r="V12"/>
  <c r="U12"/>
  <c r="T12"/>
  <c r="K5" i="45"/>
  <c r="J36"/>
  <c r="L5"/>
  <c r="L36"/>
  <c r="E15"/>
  <c r="F15"/>
  <c r="D20"/>
  <c r="E21"/>
  <c r="F21"/>
  <c r="F12" i="57"/>
  <c r="B5"/>
  <c r="H21"/>
  <c r="G21"/>
  <c r="F21"/>
  <c r="E5"/>
  <c r="E28" i="45"/>
  <c r="F28"/>
  <c r="Q5"/>
  <c r="Q36"/>
  <c r="P5"/>
  <c r="P36"/>
  <c r="O36"/>
  <c r="M12" i="57"/>
  <c r="I5"/>
  <c r="D11" i="45"/>
  <c r="C8" i="57"/>
  <c r="Q5"/>
  <c r="U8"/>
  <c r="F11" i="45"/>
  <c r="E11"/>
  <c r="D5"/>
  <c r="C5" i="57"/>
  <c r="Q37"/>
  <c r="C37"/>
  <c r="I37"/>
  <c r="M5"/>
  <c r="T37"/>
  <c r="V37"/>
  <c r="U37"/>
  <c r="E37"/>
  <c r="G8"/>
  <c r="H8"/>
  <c r="H5"/>
  <c r="G5"/>
  <c r="F5"/>
  <c r="F20" i="45"/>
  <c r="E20"/>
  <c r="D36"/>
  <c r="K36"/>
  <c r="U5" i="57"/>
  <c r="V5"/>
  <c r="E36" i="45"/>
  <c r="F36"/>
  <c r="H37" i="57"/>
  <c r="G37"/>
  <c r="B37"/>
  <c r="F37"/>
  <c r="M37"/>
  <c r="F5" i="45"/>
  <c r="E5"/>
  <c r="U29" i="58"/>
  <c r="G25"/>
  <c r="B21"/>
  <c r="U21"/>
  <c r="E16"/>
  <c r="E12"/>
  <c r="R5"/>
  <c r="R37"/>
  <c r="G14"/>
  <c r="G13"/>
  <c r="D8"/>
  <c r="G32"/>
  <c r="G31"/>
  <c r="G29"/>
  <c r="N29"/>
  <c r="G30"/>
  <c r="G28"/>
  <c r="G27"/>
  <c r="D21"/>
  <c r="G23"/>
  <c r="K21"/>
  <c r="K5"/>
  <c r="K37"/>
  <c r="N22"/>
  <c r="G19"/>
  <c r="G18"/>
  <c r="I5"/>
  <c r="I37"/>
  <c r="C16"/>
  <c r="G16"/>
  <c r="C12"/>
  <c r="G17"/>
  <c r="N12"/>
  <c r="N16"/>
  <c r="N8"/>
  <c r="G7"/>
  <c r="C9"/>
  <c r="Q8"/>
  <c r="G6"/>
  <c r="G10"/>
  <c r="G11"/>
  <c r="P12"/>
  <c r="P8"/>
  <c r="S12"/>
  <c r="D12"/>
  <c r="B15"/>
  <c r="B12"/>
  <c r="U16"/>
  <c r="J21"/>
  <c r="L21"/>
  <c r="P21"/>
  <c r="E22"/>
  <c r="C24"/>
  <c r="N28"/>
  <c r="B29"/>
  <c r="E33"/>
  <c r="Q33"/>
  <c r="C34"/>
  <c r="S5"/>
  <c r="T5"/>
  <c r="T12"/>
  <c r="D37"/>
  <c r="G12"/>
  <c r="U8"/>
  <c r="B5"/>
  <c r="D5"/>
  <c r="E21"/>
  <c r="G22"/>
  <c r="U33"/>
  <c r="C33"/>
  <c r="G33"/>
  <c r="C21"/>
  <c r="J5"/>
  <c r="J37"/>
  <c r="U12"/>
  <c r="P5"/>
  <c r="P37"/>
  <c r="B37"/>
  <c r="G9"/>
  <c r="N21"/>
  <c r="L5"/>
  <c r="C15"/>
  <c r="Q5"/>
  <c r="U5"/>
  <c r="C8"/>
  <c r="S37"/>
  <c r="T37"/>
  <c r="G8"/>
  <c r="L37"/>
  <c r="N5"/>
  <c r="Q37"/>
  <c r="C37"/>
  <c r="C5"/>
  <c r="G21"/>
  <c r="E5"/>
  <c r="U37"/>
  <c r="G5"/>
  <c r="N37"/>
  <c r="E37"/>
  <c r="G37"/>
  <c r="L5" i="59"/>
  <c r="L37"/>
  <c r="N37"/>
  <c r="O12"/>
  <c r="D33"/>
  <c r="H33"/>
  <c r="U33"/>
  <c r="G35"/>
  <c r="G31"/>
  <c r="U29"/>
  <c r="G30"/>
  <c r="V21"/>
  <c r="H25"/>
  <c r="R5"/>
  <c r="R37"/>
  <c r="H14"/>
  <c r="G14"/>
  <c r="U12"/>
  <c r="S5"/>
  <c r="S37"/>
  <c r="H13"/>
  <c r="U8"/>
  <c r="G11"/>
  <c r="H31"/>
  <c r="D8"/>
  <c r="H8"/>
  <c r="H6"/>
  <c r="G33"/>
  <c r="F6"/>
  <c r="H7"/>
  <c r="F7"/>
  <c r="M8"/>
  <c r="O8"/>
  <c r="F9"/>
  <c r="H9"/>
  <c r="T12"/>
  <c r="V12"/>
  <c r="E16"/>
  <c r="M16"/>
  <c r="O16"/>
  <c r="F17"/>
  <c r="H17"/>
  <c r="F19"/>
  <c r="H19"/>
  <c r="E21"/>
  <c r="I21"/>
  <c r="I5"/>
  <c r="I37"/>
  <c r="B37"/>
  <c r="K21"/>
  <c r="K5"/>
  <c r="Q21"/>
  <c r="D22"/>
  <c r="D21"/>
  <c r="D5"/>
  <c r="H22"/>
  <c r="F23"/>
  <c r="H23"/>
  <c r="F26"/>
  <c r="H26"/>
  <c r="F27"/>
  <c r="H27"/>
  <c r="F28"/>
  <c r="H28"/>
  <c r="E29"/>
  <c r="M29"/>
  <c r="O29"/>
  <c r="F30"/>
  <c r="H30"/>
  <c r="F32"/>
  <c r="H32"/>
  <c r="T33"/>
  <c r="V33"/>
  <c r="F8"/>
  <c r="T8"/>
  <c r="F10"/>
  <c r="F11"/>
  <c r="M12"/>
  <c r="F13"/>
  <c r="F14"/>
  <c r="T16"/>
  <c r="F18"/>
  <c r="T21"/>
  <c r="M22"/>
  <c r="F25"/>
  <c r="T29"/>
  <c r="F31"/>
  <c r="F33"/>
  <c r="F35"/>
  <c r="N5"/>
  <c r="T37"/>
  <c r="V37"/>
  <c r="T5"/>
  <c r="E37"/>
  <c r="V5"/>
  <c r="O21"/>
  <c r="H29"/>
  <c r="F29"/>
  <c r="G29"/>
  <c r="F22"/>
  <c r="C21"/>
  <c r="Q5"/>
  <c r="M21"/>
  <c r="H16"/>
  <c r="F16"/>
  <c r="E12"/>
  <c r="G16"/>
  <c r="K37"/>
  <c r="O5"/>
  <c r="M5"/>
  <c r="H21"/>
  <c r="F21"/>
  <c r="G21"/>
  <c r="U21"/>
  <c r="D37"/>
  <c r="O37"/>
  <c r="M37"/>
  <c r="G12"/>
  <c r="H12"/>
  <c r="F12"/>
  <c r="E5"/>
  <c r="Q37"/>
  <c r="C5"/>
  <c r="U5"/>
  <c r="C37"/>
  <c r="G37"/>
  <c r="U37"/>
  <c r="G5"/>
  <c r="H5"/>
  <c r="F5"/>
  <c r="H37"/>
  <c r="F37"/>
  <c r="H13" i="61"/>
  <c r="S5"/>
  <c r="S37"/>
  <c r="E33"/>
  <c r="F33"/>
  <c r="H35"/>
  <c r="U29"/>
  <c r="V29"/>
  <c r="G23"/>
  <c r="V21"/>
  <c r="D8"/>
  <c r="V8"/>
  <c r="G11"/>
  <c r="U8"/>
  <c r="H10"/>
  <c r="H7"/>
  <c r="H31"/>
  <c r="N29"/>
  <c r="G31"/>
  <c r="G22"/>
  <c r="F6"/>
  <c r="H6"/>
  <c r="O8"/>
  <c r="M8"/>
  <c r="F7"/>
  <c r="G9"/>
  <c r="H9"/>
  <c r="F9"/>
  <c r="E8"/>
  <c r="D12"/>
  <c r="T12"/>
  <c r="V12"/>
  <c r="E16"/>
  <c r="F16"/>
  <c r="M16"/>
  <c r="O16"/>
  <c r="F17"/>
  <c r="H17"/>
  <c r="F19"/>
  <c r="H19"/>
  <c r="E21"/>
  <c r="F21"/>
  <c r="I21"/>
  <c r="I5"/>
  <c r="I37"/>
  <c r="B37"/>
  <c r="K21"/>
  <c r="K5"/>
  <c r="K37"/>
  <c r="M21"/>
  <c r="O21"/>
  <c r="Q21"/>
  <c r="Q5"/>
  <c r="Q37"/>
  <c r="D22"/>
  <c r="D21"/>
  <c r="F23"/>
  <c r="H23"/>
  <c r="F26"/>
  <c r="H26"/>
  <c r="F27"/>
  <c r="H27"/>
  <c r="E29"/>
  <c r="H29"/>
  <c r="M29"/>
  <c r="O29"/>
  <c r="F30"/>
  <c r="H30"/>
  <c r="F32"/>
  <c r="H32"/>
  <c r="T33"/>
  <c r="V33"/>
  <c r="F10"/>
  <c r="F11"/>
  <c r="F13"/>
  <c r="F14"/>
  <c r="T16"/>
  <c r="F18"/>
  <c r="T21"/>
  <c r="M22"/>
  <c r="F25"/>
  <c r="T29"/>
  <c r="F31"/>
  <c r="F35"/>
  <c r="H22"/>
  <c r="F22"/>
  <c r="C21"/>
  <c r="H16"/>
  <c r="E12"/>
  <c r="H12"/>
  <c r="U21"/>
  <c r="C33"/>
  <c r="G33"/>
  <c r="F29"/>
  <c r="G30"/>
  <c r="V23"/>
  <c r="H21"/>
  <c r="G21"/>
  <c r="U16"/>
  <c r="C5"/>
  <c r="U37"/>
  <c r="C16"/>
  <c r="G17"/>
  <c r="G14"/>
  <c r="C12"/>
  <c r="G12"/>
  <c r="D5"/>
  <c r="G8"/>
  <c r="F8"/>
  <c r="C37"/>
  <c r="U5"/>
  <c r="V5"/>
  <c r="T5"/>
  <c r="V37"/>
  <c r="T37"/>
  <c r="H28"/>
  <c r="F28"/>
  <c r="O28"/>
  <c r="C28"/>
  <c r="G28"/>
  <c r="H33"/>
  <c r="G29"/>
  <c r="L12"/>
  <c r="H18"/>
  <c r="F12"/>
  <c r="G16"/>
  <c r="H8"/>
  <c r="E5"/>
  <c r="D37"/>
  <c r="H5"/>
  <c r="N12"/>
  <c r="O12"/>
  <c r="L5"/>
  <c r="M12"/>
  <c r="G5"/>
  <c r="F5"/>
  <c r="L37"/>
  <c r="M5"/>
  <c r="O5"/>
  <c r="N5"/>
  <c r="N37"/>
  <c r="M37"/>
  <c r="E37"/>
  <c r="O37"/>
  <c r="G37"/>
  <c r="H37"/>
  <c r="F37"/>
</calcChain>
</file>

<file path=xl/sharedStrings.xml><?xml version="1.0" encoding="utf-8"?>
<sst xmlns="http://schemas.openxmlformats.org/spreadsheetml/2006/main" count="255" uniqueCount="62">
  <si>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</si>
  <si>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</si>
  <si>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</si>
  <si>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</si>
  <si>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</si>
  <si>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</si>
  <si>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</si>
  <si>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</si>
  <si>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</si>
  <si>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</si>
  <si>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</si>
  <si>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</si>
  <si>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</si>
  <si>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</si>
  <si>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</si>
  <si>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</si>
  <si>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</si>
  <si>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</si>
  <si>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</si>
  <si>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</si>
  <si>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</si>
  <si>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</si>
  <si>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</si>
  <si>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</si>
  <si>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</si>
  <si>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</si>
  <si>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</si>
  <si>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</si>
  <si>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</si>
  <si>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</si>
  <si>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</si>
  <si>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</si>
  <si>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</si>
  <si>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>План 1 квартала</t>
  </si>
  <si>
    <t xml:space="preserve"> 2013 год консолидированный</t>
  </si>
  <si>
    <t xml:space="preserve">Налог, взимаемый в связи с применением патентной системы </t>
  </si>
  <si>
    <t>Уточненный план на 2013 год</t>
  </si>
  <si>
    <t>% исп-я к ут плану</t>
  </si>
  <si>
    <t>Средства самообложения граждан</t>
  </si>
  <si>
    <t>Утверждено в бюджете</t>
  </si>
  <si>
    <t>% исп-я к утвержд. плану</t>
  </si>
  <si>
    <t>% исп-я к уточненн. Плану</t>
  </si>
  <si>
    <t>Факт на 01/01.2014</t>
  </si>
  <si>
    <t>Анализ выполнения доходной части консолидированного бюджета Кунгурского муниципального района на 01.01.2014</t>
  </si>
  <si>
    <t xml:space="preserve"> 2014 год консолидированный</t>
  </si>
  <si>
    <t xml:space="preserve">Акцизы на нефтепродукты </t>
  </si>
  <si>
    <t>Уточненный план</t>
  </si>
  <si>
    <t>План 9 месяцев</t>
  </si>
  <si>
    <t>Анализ выполнения доходной части консолидированного бюджета Кунгурского муниципального района на 01.01.2015</t>
  </si>
  <si>
    <t>Факт на 01/01.2015</t>
  </si>
  <si>
    <t>% исп-я к  ут.плану</t>
  </si>
  <si>
    <t>отклон.</t>
  </si>
  <si>
    <t>Анализ выполнения доходной части консолидированного бюджета Кунгурского муниципального района на 01.04.2015</t>
  </si>
  <si>
    <t xml:space="preserve"> 2015 год консолидированный</t>
  </si>
  <si>
    <t>Факт на 01/04.2015</t>
  </si>
  <si>
    <t>% исп-я к плану 1 квартала</t>
  </si>
  <si>
    <t>Анализ выполнения доходной части консолидированного бюджета Кунгурского муниципального района на 01.05.2015</t>
  </si>
  <si>
    <t>План 1 полугодия</t>
  </si>
  <si>
    <t>Факт на 01/05.2015</t>
  </si>
  <si>
    <t>% исп-я к плану 1 полугодия</t>
  </si>
  <si>
    <t>Анализ выполнения доходной части консолидированного бюджета Кунгурского муниципального района на 01.07.2015</t>
  </si>
  <si>
    <t>Факт на 01/07.2015</t>
  </si>
</sst>
</file>

<file path=xl/styles.xml><?xml version="1.0" encoding="utf-8"?>
<styleSheet xmlns="http://schemas.openxmlformats.org/spreadsheetml/2006/main">
  <numFmts count="1">
    <numFmt numFmtId="187" formatCode="#,##0.0"/>
  </numFmts>
  <fonts count="9">
    <font>
      <sz val="10"/>
      <name val="Arial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3" fontId="0" fillId="0" borderId="0" xfId="0" applyNumberFormat="1"/>
    <xf numFmtId="0" fontId="1" fillId="0" borderId="0" xfId="0" applyFont="1" applyBorder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3" xfId="0" applyFont="1" applyBorder="1" applyAlignment="1">
      <alignment horizontal="left"/>
    </xf>
    <xf numFmtId="3" fontId="5" fillId="0" borderId="3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/>
    <xf numFmtId="3" fontId="5" fillId="0" borderId="5" xfId="0" applyNumberFormat="1" applyFont="1" applyBorder="1" applyAlignment="1"/>
    <xf numFmtId="3" fontId="6" fillId="2" borderId="5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4" fontId="5" fillId="3" borderId="4" xfId="0" applyNumberFormat="1" applyFont="1" applyFill="1" applyBorder="1" applyAlignment="1">
      <alignment horizontal="right" wrapText="1"/>
    </xf>
    <xf numFmtId="4" fontId="6" fillId="3" borderId="4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/>
    <xf numFmtId="4" fontId="6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6" xfId="0" applyNumberFormat="1" applyFont="1" applyBorder="1" applyAlignment="1"/>
    <xf numFmtId="4" fontId="5" fillId="2" borderId="3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4" fontId="5" fillId="2" borderId="5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6" fillId="2" borderId="5" xfId="0" applyNumberFormat="1" applyFont="1" applyFill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5" fillId="4" borderId="3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/>
    <xf numFmtId="4" fontId="6" fillId="4" borderId="5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/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/>
    <xf numFmtId="4" fontId="6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/>
    <xf numFmtId="3" fontId="6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/>
    <xf numFmtId="3" fontId="6" fillId="5" borderId="5" xfId="0" applyNumberFormat="1" applyFont="1" applyFill="1" applyBorder="1" applyAlignment="1">
      <alignment horizontal="right"/>
    </xf>
    <xf numFmtId="4" fontId="5" fillId="5" borderId="4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4" fontId="5" fillId="5" borderId="17" xfId="0" applyNumberFormat="1" applyFont="1" applyFill="1" applyBorder="1" applyAlignment="1"/>
    <xf numFmtId="4" fontId="5" fillId="4" borderId="19" xfId="0" applyNumberFormat="1" applyFont="1" applyFill="1" applyBorder="1" applyAlignment="1"/>
    <xf numFmtId="4" fontId="5" fillId="0" borderId="20" xfId="0" applyNumberFormat="1" applyFont="1" applyBorder="1" applyAlignment="1"/>
    <xf numFmtId="4" fontId="6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4" fontId="5" fillId="5" borderId="5" xfId="0" applyNumberFormat="1" applyFont="1" applyFill="1" applyBorder="1" applyAlignment="1">
      <alignment horizontal="right" wrapText="1"/>
    </xf>
    <xf numFmtId="4" fontId="5" fillId="6" borderId="3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/>
    <xf numFmtId="4" fontId="5" fillId="0" borderId="6" xfId="0" applyNumberFormat="1" applyFont="1" applyBorder="1"/>
    <xf numFmtId="3" fontId="5" fillId="5" borderId="3" xfId="0" applyNumberFormat="1" applyFont="1" applyFill="1" applyBorder="1" applyAlignment="1">
      <alignment horizontal="right"/>
    </xf>
    <xf numFmtId="4" fontId="5" fillId="5" borderId="4" xfId="0" applyNumberFormat="1" applyFont="1" applyFill="1" applyBorder="1"/>
    <xf numFmtId="3" fontId="5" fillId="0" borderId="7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87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" fontId="6" fillId="0" borderId="4" xfId="0" applyNumberFormat="1" applyFont="1" applyBorder="1"/>
    <xf numFmtId="187" fontId="5" fillId="0" borderId="3" xfId="0" applyNumberFormat="1" applyFont="1" applyFill="1" applyBorder="1" applyAlignment="1">
      <alignment horizontal="right" wrapText="1"/>
    </xf>
    <xf numFmtId="187" fontId="6" fillId="0" borderId="3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6" fillId="5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topLeftCell="A2" zoomScale="60" zoomScaleNormal="100" workbookViewId="0">
      <selection activeCell="A2" sqref="A1:IV65536"/>
    </sheetView>
  </sheetViews>
  <sheetFormatPr defaultRowHeight="12.75"/>
  <cols>
    <col min="1" max="1" width="67.28515625" customWidth="1"/>
    <col min="2" max="2" width="13.5703125" style="1" customWidth="1"/>
    <col min="3" max="3" width="14.7109375" customWidth="1"/>
    <col min="4" max="4" width="15.140625" customWidth="1"/>
    <col min="5" max="5" width="9.28515625" customWidth="1"/>
    <col min="6" max="6" width="10.85546875" customWidth="1"/>
    <col min="7" max="7" width="51.85546875" customWidth="1"/>
    <col min="8" max="9" width="14.42578125" customWidth="1"/>
    <col min="10" max="10" width="14.28515625" customWidth="1"/>
    <col min="11" max="11" width="7.140625" customWidth="1"/>
    <col min="12" max="12" width="7.85546875" customWidth="1"/>
    <col min="13" max="13" width="13.7109375" customWidth="1"/>
    <col min="14" max="14" width="13.42578125" customWidth="1"/>
    <col min="15" max="15" width="13.28515625" customWidth="1"/>
    <col min="16" max="17" width="7.85546875" customWidth="1"/>
  </cols>
  <sheetData>
    <row r="1" spans="1:18" hidden="1"/>
    <row r="2" spans="1:18" ht="20.25" customHeight="1" thickBot="1">
      <c r="A2" s="176" t="s">
        <v>43</v>
      </c>
      <c r="B2" s="176"/>
      <c r="C2" s="176"/>
      <c r="D2" s="176"/>
      <c r="E2" s="176"/>
      <c r="F2" s="17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13.5" thickBot="1">
      <c r="A3" s="177" t="s">
        <v>0</v>
      </c>
      <c r="B3" s="171" t="s">
        <v>34</v>
      </c>
      <c r="C3" s="172"/>
      <c r="D3" s="172"/>
      <c r="E3" s="172"/>
      <c r="F3" s="172"/>
      <c r="G3" s="177" t="s">
        <v>0</v>
      </c>
      <c r="H3" s="171" t="s">
        <v>31</v>
      </c>
      <c r="I3" s="172"/>
      <c r="J3" s="172"/>
      <c r="K3" s="172"/>
      <c r="L3" s="172"/>
      <c r="M3" s="173" t="s">
        <v>32</v>
      </c>
      <c r="N3" s="174"/>
      <c r="O3" s="174"/>
      <c r="P3" s="174"/>
      <c r="Q3" s="175"/>
    </row>
    <row r="4" spans="1:18" ht="74.25" customHeight="1" thickBot="1">
      <c r="A4" s="178"/>
      <c r="B4" s="8" t="s">
        <v>39</v>
      </c>
      <c r="C4" s="63" t="s">
        <v>36</v>
      </c>
      <c r="D4" s="10" t="s">
        <v>42</v>
      </c>
      <c r="E4" s="9" t="s">
        <v>40</v>
      </c>
      <c r="F4" s="9" t="s">
        <v>41</v>
      </c>
      <c r="G4" s="178"/>
      <c r="H4" s="8" t="str">
        <f>B4</f>
        <v>Утверждено в бюджете</v>
      </c>
      <c r="I4" s="9" t="str">
        <f>C4</f>
        <v>Уточненный план на 2013 год</v>
      </c>
      <c r="J4" s="89" t="str">
        <f>D4</f>
        <v>Факт на 01/01.2014</v>
      </c>
      <c r="K4" s="9" t="s">
        <v>37</v>
      </c>
      <c r="L4" s="9" t="str">
        <f>F4</f>
        <v>% исп-я к уточненн. Плану</v>
      </c>
      <c r="M4" s="8" t="str">
        <f>H4</f>
        <v>Утверждено в бюджете</v>
      </c>
      <c r="N4" s="71" t="str">
        <f>I4</f>
        <v>Уточненный план на 2013 год</v>
      </c>
      <c r="O4" s="10" t="str">
        <f>J4</f>
        <v>Факт на 01/01.2014</v>
      </c>
      <c r="P4" s="9" t="str">
        <f>K4</f>
        <v>% исп-я к ут плану</v>
      </c>
      <c r="Q4" s="9" t="str">
        <f>L4</f>
        <v>% исп-я к уточненн. Плану</v>
      </c>
      <c r="R4" s="2"/>
    </row>
    <row r="5" spans="1:18" ht="16.5">
      <c r="A5" s="12" t="s">
        <v>1</v>
      </c>
      <c r="B5" s="50">
        <f>B6+B7+B11+B18+B19+B20+B26+B27+B28+B31+B32</f>
        <v>236951325</v>
      </c>
      <c r="C5" s="51">
        <f>C6+C7+C11+C18+C19+C20+C26+C27+C28+C31+C32</f>
        <v>282959974.94000006</v>
      </c>
      <c r="D5" s="33">
        <f>D6+D7+D11+D18+D19+D20+D26+D27+D28+D31+D32</f>
        <v>303424703.55999994</v>
      </c>
      <c r="E5" s="13">
        <f>D5/B5*100</f>
        <v>128.05360069626113</v>
      </c>
      <c r="F5" s="13">
        <f>D5/C5*100</f>
        <v>107.23237575361651</v>
      </c>
      <c r="G5" s="12" t="s">
        <v>1</v>
      </c>
      <c r="H5" s="40">
        <f>H6+H7+H11+H18+H19+H20+H26+H27+H28+H31+H32</f>
        <v>148105387</v>
      </c>
      <c r="I5" s="72">
        <f>I6+I7+I11+I18+I19+I20+I26+I27+I28+I31+I32</f>
        <v>172250077.83000001</v>
      </c>
      <c r="J5" s="90">
        <f>J6+J7+J11+J18+J19+J20+J26+J27+J28+J31+J32</f>
        <v>185923970.84999996</v>
      </c>
      <c r="K5" s="21">
        <f>J5/H5*100</f>
        <v>125.53491443900009</v>
      </c>
      <c r="L5" s="21">
        <f>J5/I5*100</f>
        <v>107.93839584414889</v>
      </c>
      <c r="M5" s="40">
        <f>M6+M7+M11+M18+M19+M20+M26+M27+M28+M31+M32</f>
        <v>88845938</v>
      </c>
      <c r="N5" s="72">
        <f>N6+N7+N11+N18+N19+N20+N26+N27+N28+N31+N32</f>
        <v>110709897.11</v>
      </c>
      <c r="O5" s="65">
        <f>O6+O7+O11+O18+O19+O20+O26+O27+O28+O31+O32</f>
        <v>117500732.71000001</v>
      </c>
      <c r="P5" s="21">
        <f>O5/M5*100</f>
        <v>132.25222824480733</v>
      </c>
      <c r="Q5" s="21">
        <f>O5/N5*100</f>
        <v>106.13390110303573</v>
      </c>
    </row>
    <row r="6" spans="1:18" ht="16.5">
      <c r="A6" s="14" t="s">
        <v>28</v>
      </c>
      <c r="B6" s="52">
        <f>H6+M6</f>
        <v>112355193</v>
      </c>
      <c r="C6" s="47">
        <f>I6+N6</f>
        <v>112911864.53</v>
      </c>
      <c r="D6" s="34">
        <f>J6+O6</f>
        <v>113027305.02</v>
      </c>
      <c r="E6" s="13">
        <f t="shared" ref="E6:E36" si="0">D6/B6*100</f>
        <v>100.59820289748423</v>
      </c>
      <c r="F6" s="13">
        <f t="shared" ref="F6:F36" si="1">D6/C6*100</f>
        <v>100.10223946835039</v>
      </c>
      <c r="G6" s="14" t="s">
        <v>28</v>
      </c>
      <c r="H6" s="22">
        <v>92457200</v>
      </c>
      <c r="I6" s="82">
        <v>92457200</v>
      </c>
      <c r="J6" s="81">
        <v>92511601.549999997</v>
      </c>
      <c r="K6" s="21">
        <f>J6/H6*100</f>
        <v>100.05883971178015</v>
      </c>
      <c r="L6" s="21">
        <f>J6/I6*100</f>
        <v>100.05883971178015</v>
      </c>
      <c r="M6" s="41">
        <v>19897993</v>
      </c>
      <c r="N6" s="73">
        <v>20454664.530000001</v>
      </c>
      <c r="O6" s="81">
        <v>20515703.469999999</v>
      </c>
      <c r="P6" s="21">
        <f>O6/M6*100</f>
        <v>103.10438580413613</v>
      </c>
      <c r="Q6" s="21">
        <f>O6/N6*100</f>
        <v>100.29841085836668</v>
      </c>
    </row>
    <row r="7" spans="1:18" ht="16.5">
      <c r="A7" s="14" t="s">
        <v>2</v>
      </c>
      <c r="B7" s="52">
        <f>B8+B10</f>
        <v>9504519</v>
      </c>
      <c r="C7" s="47">
        <f>C8+C10</f>
        <v>10821940.51</v>
      </c>
      <c r="D7" s="34">
        <f>D8+D10+D9</f>
        <v>11388153.83</v>
      </c>
      <c r="E7" s="13">
        <f t="shared" si="0"/>
        <v>119.81830779653342</v>
      </c>
      <c r="F7" s="13">
        <f t="shared" si="1"/>
        <v>105.23208679142888</v>
      </c>
      <c r="G7" s="14" t="s">
        <v>2</v>
      </c>
      <c r="H7" s="22">
        <f>H8+H10</f>
        <v>8968486</v>
      </c>
      <c r="I7" s="83">
        <f>I8+I10</f>
        <v>8968486</v>
      </c>
      <c r="J7" s="32">
        <f>J8+J9</f>
        <v>9365929.2699999996</v>
      </c>
      <c r="K7" s="21">
        <f>J7/H7*100</f>
        <v>104.43155366468766</v>
      </c>
      <c r="L7" s="21">
        <f>J7/I7*100</f>
        <v>104.43155366468766</v>
      </c>
      <c r="M7" s="41">
        <f>M8+M10</f>
        <v>536033</v>
      </c>
      <c r="N7" s="74">
        <f>N8+N10</f>
        <v>1853454.51</v>
      </c>
      <c r="O7" s="32">
        <f>O8+O10</f>
        <v>2022224.56</v>
      </c>
      <c r="P7" s="21">
        <f>O7/M7*100</f>
        <v>377.25747481964731</v>
      </c>
      <c r="Q7" s="21">
        <f>O7/N7*100</f>
        <v>109.10570230288523</v>
      </c>
    </row>
    <row r="8" spans="1:18" ht="16.5">
      <c r="A8" s="15" t="s">
        <v>3</v>
      </c>
      <c r="B8" s="53">
        <f t="shared" ref="B8:D10" si="2">H8+M8</f>
        <v>8968486</v>
      </c>
      <c r="C8" s="54">
        <f t="shared" si="2"/>
        <v>8968486</v>
      </c>
      <c r="D8" s="35">
        <f t="shared" si="2"/>
        <v>9022072.4800000004</v>
      </c>
      <c r="E8" s="13">
        <f t="shared" si="0"/>
        <v>100.59749750403803</v>
      </c>
      <c r="F8" s="13">
        <f t="shared" si="1"/>
        <v>100.59749750403803</v>
      </c>
      <c r="G8" s="15" t="s">
        <v>3</v>
      </c>
      <c r="H8" s="24">
        <v>8968486</v>
      </c>
      <c r="I8" s="84">
        <v>8968486</v>
      </c>
      <c r="J8" s="91">
        <v>9022072.4800000004</v>
      </c>
      <c r="K8" s="21">
        <f>J8/H8*100</f>
        <v>100.59749750403803</v>
      </c>
      <c r="L8" s="21">
        <f>J8/I8*100</f>
        <v>100.59749750403803</v>
      </c>
      <c r="M8" s="41">
        <f>N8+O8+P8+Q8</f>
        <v>0</v>
      </c>
      <c r="N8" s="75">
        <v>0</v>
      </c>
      <c r="O8" s="66">
        <v>0</v>
      </c>
      <c r="P8" s="25">
        <v>0</v>
      </c>
      <c r="Q8" s="25">
        <v>0</v>
      </c>
    </row>
    <row r="9" spans="1:18" ht="16.5">
      <c r="A9" s="15" t="s">
        <v>35</v>
      </c>
      <c r="B9" s="53">
        <f t="shared" si="2"/>
        <v>0</v>
      </c>
      <c r="C9" s="54">
        <f t="shared" si="2"/>
        <v>0</v>
      </c>
      <c r="D9" s="35">
        <f t="shared" si="2"/>
        <v>343856.79</v>
      </c>
      <c r="E9" s="13"/>
      <c r="F9" s="13"/>
      <c r="G9" s="15" t="str">
        <f>A9</f>
        <v xml:space="preserve">Налог, взимаемый в связи с применением патентной системы </v>
      </c>
      <c r="H9" s="24">
        <v>0</v>
      </c>
      <c r="I9" s="84">
        <v>0</v>
      </c>
      <c r="J9" s="91">
        <v>343856.79</v>
      </c>
      <c r="K9" s="21"/>
      <c r="L9" s="21"/>
      <c r="M9" s="41"/>
      <c r="N9" s="75"/>
      <c r="O9" s="66"/>
      <c r="P9" s="25"/>
      <c r="Q9" s="25"/>
    </row>
    <row r="10" spans="1:18" ht="16.5">
      <c r="A10" s="15" t="s">
        <v>29</v>
      </c>
      <c r="B10" s="53">
        <f t="shared" si="2"/>
        <v>536033</v>
      </c>
      <c r="C10" s="54">
        <f t="shared" si="2"/>
        <v>1853454.51</v>
      </c>
      <c r="D10" s="35">
        <f t="shared" si="2"/>
        <v>2022224.56</v>
      </c>
      <c r="E10" s="13">
        <f t="shared" si="0"/>
        <v>377.25747481964731</v>
      </c>
      <c r="F10" s="13">
        <f t="shared" si="1"/>
        <v>109.10570230288523</v>
      </c>
      <c r="G10" s="15" t="s">
        <v>29</v>
      </c>
      <c r="H10" s="24">
        <v>0</v>
      </c>
      <c r="I10" s="84">
        <v>0</v>
      </c>
      <c r="J10" s="66">
        <v>0</v>
      </c>
      <c r="K10" s="21"/>
      <c r="L10" s="21"/>
      <c r="M10" s="42">
        <v>536033</v>
      </c>
      <c r="N10" s="94">
        <v>1853454.51</v>
      </c>
      <c r="O10" s="91">
        <v>2022224.56</v>
      </c>
      <c r="P10" s="25">
        <f>O10/M10*100</f>
        <v>377.25747481964731</v>
      </c>
      <c r="Q10" s="25">
        <f>O10/N10*100</f>
        <v>109.10570230288523</v>
      </c>
    </row>
    <row r="11" spans="1:18" ht="16.5">
      <c r="A11" s="14" t="s">
        <v>4</v>
      </c>
      <c r="B11" s="52">
        <f>B12+B13+B14+B15</f>
        <v>50918833</v>
      </c>
      <c r="C11" s="47">
        <f>C12+C13+C14+C15</f>
        <v>51142645.870000005</v>
      </c>
      <c r="D11" s="34">
        <f>D12+D13+D14+D15</f>
        <v>53197156.600000001</v>
      </c>
      <c r="E11" s="13">
        <f t="shared" si="0"/>
        <v>104.47442226336963</v>
      </c>
      <c r="F11" s="13">
        <f t="shared" si="1"/>
        <v>104.01721634665202</v>
      </c>
      <c r="G11" s="14" t="s">
        <v>4</v>
      </c>
      <c r="H11" s="22">
        <f>H12+H13+H14+H15</f>
        <v>14316000</v>
      </c>
      <c r="I11" s="82">
        <f>I12+I13+I14+I15</f>
        <v>14406000</v>
      </c>
      <c r="J11" s="32">
        <f>J12+J13+J14+J15</f>
        <v>15375209.560000001</v>
      </c>
      <c r="K11" s="23">
        <f>J11/H11*100</f>
        <v>107.39878150321319</v>
      </c>
      <c r="L11" s="21">
        <f>J11/I11*100</f>
        <v>106.72781868665835</v>
      </c>
      <c r="M11" s="41">
        <f>M12+M13+M14+M15</f>
        <v>36602833</v>
      </c>
      <c r="N11" s="76">
        <f>N12+N13+N14+N15</f>
        <v>36736645.870000005</v>
      </c>
      <c r="O11" s="32">
        <f>O12+O13+O14+O15</f>
        <v>37821947.040000007</v>
      </c>
      <c r="P11" s="25">
        <f>O11/M11*100</f>
        <v>103.33065487034845</v>
      </c>
      <c r="Q11" s="25">
        <f>O11/N11*100</f>
        <v>102.95427397983082</v>
      </c>
    </row>
    <row r="12" spans="1:18" ht="16.5">
      <c r="A12" s="15" t="s">
        <v>30</v>
      </c>
      <c r="B12" s="53">
        <f t="shared" ref="B12:D14" si="3">H12+M12</f>
        <v>5007733</v>
      </c>
      <c r="C12" s="54">
        <f t="shared" si="3"/>
        <v>4528178</v>
      </c>
      <c r="D12" s="35">
        <f t="shared" si="3"/>
        <v>4421315.41</v>
      </c>
      <c r="E12" s="13">
        <f t="shared" si="0"/>
        <v>88.289759258331074</v>
      </c>
      <c r="F12" s="13">
        <f t="shared" si="1"/>
        <v>97.640053239956558</v>
      </c>
      <c r="G12" s="15" t="s">
        <v>30</v>
      </c>
      <c r="H12" s="24">
        <f>I12+J12+K12+L12</f>
        <v>0</v>
      </c>
      <c r="I12" s="84">
        <v>0</v>
      </c>
      <c r="J12" s="66">
        <v>0</v>
      </c>
      <c r="K12" s="23">
        <v>0</v>
      </c>
      <c r="L12" s="25">
        <v>0</v>
      </c>
      <c r="M12" s="42">
        <v>5007733</v>
      </c>
      <c r="N12" s="94">
        <v>4528178</v>
      </c>
      <c r="O12" s="91">
        <v>4421315.41</v>
      </c>
      <c r="P12" s="25">
        <f>O12/M12*100</f>
        <v>88.289759258331074</v>
      </c>
      <c r="Q12" s="25">
        <f>O12/N12*100</f>
        <v>97.640053239956558</v>
      </c>
    </row>
    <row r="13" spans="1:18" ht="16.5">
      <c r="A13" s="15" t="s">
        <v>5</v>
      </c>
      <c r="B13" s="53">
        <f t="shared" si="3"/>
        <v>18071123</v>
      </c>
      <c r="C13" s="54">
        <f t="shared" si="3"/>
        <v>18134136.370000001</v>
      </c>
      <c r="D13" s="35">
        <f t="shared" si="3"/>
        <v>18025433.850000001</v>
      </c>
      <c r="E13" s="13">
        <f t="shared" si="0"/>
        <v>99.74717038891275</v>
      </c>
      <c r="F13" s="13">
        <f t="shared" si="1"/>
        <v>99.400564119613492</v>
      </c>
      <c r="G13" s="15" t="s">
        <v>5</v>
      </c>
      <c r="H13" s="24">
        <f>I13+J13+K13+L13</f>
        <v>0</v>
      </c>
      <c r="I13" s="84">
        <v>0</v>
      </c>
      <c r="J13" s="66">
        <v>0</v>
      </c>
      <c r="K13" s="23">
        <v>0</v>
      </c>
      <c r="L13" s="25">
        <v>0</v>
      </c>
      <c r="M13" s="42">
        <v>18071123</v>
      </c>
      <c r="N13" s="94">
        <v>18134136.370000001</v>
      </c>
      <c r="O13" s="91">
        <v>18025433.850000001</v>
      </c>
      <c r="P13" s="25">
        <f>O13/M13*100</f>
        <v>99.74717038891275</v>
      </c>
      <c r="Q13" s="25">
        <f>O13/N13*100</f>
        <v>99.400564119613492</v>
      </c>
    </row>
    <row r="14" spans="1:18" ht="16.5">
      <c r="A14" s="15" t="s">
        <v>6</v>
      </c>
      <c r="B14" s="53">
        <f t="shared" si="3"/>
        <v>0</v>
      </c>
      <c r="C14" s="54">
        <f t="shared" si="3"/>
        <v>0</v>
      </c>
      <c r="D14" s="35">
        <f t="shared" si="3"/>
        <v>0</v>
      </c>
      <c r="E14" s="13"/>
      <c r="F14" s="13"/>
      <c r="G14" s="15" t="s">
        <v>6</v>
      </c>
      <c r="H14" s="24">
        <v>0</v>
      </c>
      <c r="I14" s="84">
        <v>0</v>
      </c>
      <c r="J14" s="66">
        <v>0</v>
      </c>
      <c r="K14" s="23"/>
      <c r="L14" s="25"/>
      <c r="M14" s="42">
        <f>N14+O14+P14+Q14</f>
        <v>0</v>
      </c>
      <c r="N14" s="75">
        <v>0</v>
      </c>
      <c r="O14" s="66">
        <v>0</v>
      </c>
      <c r="P14" s="25">
        <v>0</v>
      </c>
      <c r="Q14" s="25">
        <v>0</v>
      </c>
    </row>
    <row r="15" spans="1:18" ht="16.5">
      <c r="A15" s="14" t="s">
        <v>7</v>
      </c>
      <c r="B15" s="52">
        <f>B16+B17</f>
        <v>27839977</v>
      </c>
      <c r="C15" s="47">
        <f>C16+C17</f>
        <v>28480331.5</v>
      </c>
      <c r="D15" s="34">
        <f>D16+D17</f>
        <v>30750407.34</v>
      </c>
      <c r="E15" s="13">
        <f t="shared" si="0"/>
        <v>110.45414060507306</v>
      </c>
      <c r="F15" s="13">
        <f t="shared" si="1"/>
        <v>107.97067913342231</v>
      </c>
      <c r="G15" s="14" t="s">
        <v>7</v>
      </c>
      <c r="H15" s="22">
        <f>H16+H17</f>
        <v>14316000</v>
      </c>
      <c r="I15" s="82">
        <f>I16+I17</f>
        <v>14406000</v>
      </c>
      <c r="J15" s="32">
        <f>J16+J17</f>
        <v>15375209.560000001</v>
      </c>
      <c r="K15" s="23">
        <f>J15/H15*100</f>
        <v>107.39878150321319</v>
      </c>
      <c r="L15" s="25">
        <f>J15/I15*100</f>
        <v>106.72781868665835</v>
      </c>
      <c r="M15" s="41">
        <f>M16+M17</f>
        <v>13523977</v>
      </c>
      <c r="N15" s="76">
        <f>N16+N17</f>
        <v>14074331.5</v>
      </c>
      <c r="O15" s="32">
        <f>O16+O17</f>
        <v>15375197.780000001</v>
      </c>
      <c r="P15" s="23">
        <f>O15/M15*100</f>
        <v>113.68843484427696</v>
      </c>
      <c r="Q15" s="23">
        <f>O15/N15*100</f>
        <v>109.24282819400695</v>
      </c>
    </row>
    <row r="16" spans="1:18" ht="16.5">
      <c r="A16" s="15" t="s">
        <v>8</v>
      </c>
      <c r="B16" s="53">
        <f t="shared" ref="B16:D19" si="4">H16+M16</f>
        <v>4084371</v>
      </c>
      <c r="C16" s="54">
        <f t="shared" si="4"/>
        <v>4347923.5</v>
      </c>
      <c r="D16" s="35">
        <f t="shared" si="4"/>
        <v>4522262.54</v>
      </c>
      <c r="E16" s="13">
        <f t="shared" si="0"/>
        <v>110.72114996409483</v>
      </c>
      <c r="F16" s="13">
        <f t="shared" si="1"/>
        <v>104.00970808249042</v>
      </c>
      <c r="G16" s="15" t="s">
        <v>8</v>
      </c>
      <c r="H16" s="24">
        <v>2053500</v>
      </c>
      <c r="I16" s="85">
        <v>2143500</v>
      </c>
      <c r="J16" s="91">
        <v>2261131.48</v>
      </c>
      <c r="K16" s="23">
        <f>J16/H16*100</f>
        <v>110.11110202093985</v>
      </c>
      <c r="L16" s="25">
        <f>J16/I16*100</f>
        <v>105.48782271985071</v>
      </c>
      <c r="M16" s="42">
        <v>2030871</v>
      </c>
      <c r="N16" s="94">
        <v>2204423.5</v>
      </c>
      <c r="O16" s="91">
        <v>2261131.06</v>
      </c>
      <c r="P16" s="23">
        <f>O16/M16*100</f>
        <v>111.33799537242888</v>
      </c>
      <c r="Q16" s="23">
        <f>O16/N16*100</f>
        <v>102.57244399726278</v>
      </c>
    </row>
    <row r="17" spans="1:17" ht="16.5">
      <c r="A17" s="15" t="s">
        <v>9</v>
      </c>
      <c r="B17" s="53">
        <f t="shared" si="4"/>
        <v>23755606</v>
      </c>
      <c r="C17" s="54">
        <f t="shared" si="4"/>
        <v>24132408</v>
      </c>
      <c r="D17" s="35">
        <f t="shared" si="4"/>
        <v>26228144.800000001</v>
      </c>
      <c r="E17" s="13">
        <f t="shared" si="0"/>
        <v>110.40823290300403</v>
      </c>
      <c r="F17" s="13">
        <f t="shared" si="1"/>
        <v>108.6843252442939</v>
      </c>
      <c r="G17" s="15" t="s">
        <v>9</v>
      </c>
      <c r="H17" s="24">
        <v>12262500</v>
      </c>
      <c r="I17" s="84">
        <v>12262500</v>
      </c>
      <c r="J17" s="91">
        <v>13114078.08</v>
      </c>
      <c r="K17" s="23">
        <f>J17/H17*100</f>
        <v>106.94457149847094</v>
      </c>
      <c r="L17" s="25">
        <f>J17/I17*100</f>
        <v>106.94457149847094</v>
      </c>
      <c r="M17" s="42">
        <v>11493106</v>
      </c>
      <c r="N17" s="94">
        <v>11869908</v>
      </c>
      <c r="O17" s="91">
        <v>13114066.720000001</v>
      </c>
      <c r="P17" s="23">
        <f>O17/M17*100</f>
        <v>114.10376550951501</v>
      </c>
      <c r="Q17" s="23">
        <f>O17/N17*100</f>
        <v>110.4816205820635</v>
      </c>
    </row>
    <row r="18" spans="1:17" ht="16.5">
      <c r="A18" s="14" t="s">
        <v>10</v>
      </c>
      <c r="B18" s="52">
        <f t="shared" si="4"/>
        <v>824779</v>
      </c>
      <c r="C18" s="47">
        <f t="shared" si="4"/>
        <v>919288</v>
      </c>
      <c r="D18" s="34">
        <f t="shared" si="4"/>
        <v>1156918.94</v>
      </c>
      <c r="E18" s="13">
        <f t="shared" si="0"/>
        <v>140.27017419211691</v>
      </c>
      <c r="F18" s="13">
        <f t="shared" si="1"/>
        <v>125.84945523056975</v>
      </c>
      <c r="G18" s="14" t="s">
        <v>10</v>
      </c>
      <c r="H18" s="24">
        <v>299976</v>
      </c>
      <c r="I18" s="85">
        <v>417026</v>
      </c>
      <c r="J18" s="91">
        <v>693401.44</v>
      </c>
      <c r="K18" s="23">
        <f>J18/H18*100</f>
        <v>231.15230551777475</v>
      </c>
      <c r="L18" s="25">
        <f>J18/I18*100</f>
        <v>166.27295180636219</v>
      </c>
      <c r="M18" s="41">
        <v>524803</v>
      </c>
      <c r="N18" s="73">
        <v>502262</v>
      </c>
      <c r="O18" s="81">
        <v>463517.5</v>
      </c>
      <c r="P18" s="23">
        <f>O18/M18*100</f>
        <v>88.322189469191287</v>
      </c>
      <c r="Q18" s="23">
        <f>O18/N18*100</f>
        <v>92.285998144394753</v>
      </c>
    </row>
    <row r="19" spans="1:17" ht="16.5">
      <c r="A19" s="14" t="s">
        <v>11</v>
      </c>
      <c r="B19" s="53">
        <f t="shared" si="4"/>
        <v>0</v>
      </c>
      <c r="C19" s="47">
        <f t="shared" si="4"/>
        <v>0</v>
      </c>
      <c r="D19" s="34">
        <f t="shared" si="4"/>
        <v>12777.24</v>
      </c>
      <c r="E19" s="13"/>
      <c r="F19" s="13"/>
      <c r="G19" s="14" t="s">
        <v>11</v>
      </c>
      <c r="H19" s="24">
        <v>0</v>
      </c>
      <c r="I19" s="84">
        <v>0</v>
      </c>
      <c r="J19" s="81">
        <v>12777.24</v>
      </c>
      <c r="K19" s="23">
        <v>0</v>
      </c>
      <c r="L19" s="25">
        <v>0</v>
      </c>
      <c r="M19" s="42">
        <v>0</v>
      </c>
      <c r="N19" s="75"/>
      <c r="O19" s="66"/>
      <c r="P19" s="25"/>
      <c r="Q19" s="25"/>
    </row>
    <row r="20" spans="1:17" ht="29.25" customHeight="1">
      <c r="A20" s="16" t="s">
        <v>21</v>
      </c>
      <c r="B20" s="55">
        <f>B21+B22+B23+B24+B25</f>
        <v>53576801</v>
      </c>
      <c r="C20" s="56">
        <f>C21+C22+C23+C24+C25</f>
        <v>57584514.030000001</v>
      </c>
      <c r="D20" s="36">
        <f>D21+D22+D23+D24+D25</f>
        <v>67344175.899999991</v>
      </c>
      <c r="E20" s="13">
        <f t="shared" si="0"/>
        <v>125.6965228289759</v>
      </c>
      <c r="F20" s="13">
        <f t="shared" si="1"/>
        <v>116.9484140561045</v>
      </c>
      <c r="G20" s="16" t="s">
        <v>21</v>
      </c>
      <c r="H20" s="26">
        <f>H21+H22+H23+H24+H25</f>
        <v>25382446</v>
      </c>
      <c r="I20" s="86">
        <f>I21+I22+I23+I24+I25</f>
        <v>25382446</v>
      </c>
      <c r="J20" s="67">
        <f>J21+J22+J23+J24+J25</f>
        <v>32310399.329999998</v>
      </c>
      <c r="K20" s="27">
        <f>J20/H20*100</f>
        <v>127.29426994545759</v>
      </c>
      <c r="L20" s="27">
        <f>J20/I20*100</f>
        <v>127.29426994545759</v>
      </c>
      <c r="M20" s="43">
        <f>M21+M22+M23+M24+M25</f>
        <v>28194355</v>
      </c>
      <c r="N20" s="77">
        <f>N21+N22+N24+N23</f>
        <v>32202068.029999997</v>
      </c>
      <c r="O20" s="67">
        <f>O21+O22+O24+O23</f>
        <v>35033776.57</v>
      </c>
      <c r="P20" s="27">
        <f>O20/M20*100</f>
        <v>124.25812390459012</v>
      </c>
      <c r="Q20" s="27">
        <f>O20/N20*100</f>
        <v>108.79356113825341</v>
      </c>
    </row>
    <row r="21" spans="1:17" ht="16.5">
      <c r="A21" s="15" t="s">
        <v>12</v>
      </c>
      <c r="B21" s="53">
        <f t="shared" ref="B21:D27" si="5">H21+M21</f>
        <v>49295822</v>
      </c>
      <c r="C21" s="54">
        <f t="shared" si="5"/>
        <v>53331890.030000001</v>
      </c>
      <c r="D21" s="35">
        <f t="shared" si="5"/>
        <v>63140918.489999995</v>
      </c>
      <c r="E21" s="13">
        <f t="shared" si="0"/>
        <v>128.08574018706901</v>
      </c>
      <c r="F21" s="13">
        <f t="shared" si="1"/>
        <v>118.39242609718551</v>
      </c>
      <c r="G21" s="15" t="s">
        <v>12</v>
      </c>
      <c r="H21" s="24">
        <v>24691070</v>
      </c>
      <c r="I21" s="84">
        <v>24691070</v>
      </c>
      <c r="J21" s="66">
        <f>31527164.35+58841.4</f>
        <v>31586005.75</v>
      </c>
      <c r="K21" s="27">
        <f t="shared" ref="K21:K36" si="6">J21/H21*100</f>
        <v>127.92481553047317</v>
      </c>
      <c r="L21" s="27">
        <f t="shared" ref="L21:L31" si="7">J21/I21*100</f>
        <v>127.92481553047317</v>
      </c>
      <c r="M21" s="42">
        <f>24603791+961</f>
        <v>24604752</v>
      </c>
      <c r="N21" s="75">
        <f>28620897.33+19922.7</f>
        <v>28640820.029999997</v>
      </c>
      <c r="O21" s="66">
        <f>31527154.13+27758.61</f>
        <v>31554912.739999998</v>
      </c>
      <c r="P21" s="27">
        <f t="shared" ref="P21:P30" si="8">O21/M21*100</f>
        <v>128.24722939698802</v>
      </c>
      <c r="Q21" s="27">
        <f t="shared" ref="Q21:Q35" si="9">O21/N21*100</f>
        <v>110.17461339077448</v>
      </c>
    </row>
    <row r="22" spans="1:17" ht="30" customHeight="1">
      <c r="A22" s="17" t="s">
        <v>25</v>
      </c>
      <c r="B22" s="57">
        <f t="shared" si="5"/>
        <v>3855577</v>
      </c>
      <c r="C22" s="58">
        <f t="shared" si="5"/>
        <v>3852996</v>
      </c>
      <c r="D22" s="37">
        <f t="shared" si="5"/>
        <v>3772006.45</v>
      </c>
      <c r="E22" s="13">
        <f t="shared" si="0"/>
        <v>97.83247617671752</v>
      </c>
      <c r="F22" s="13">
        <f t="shared" si="1"/>
        <v>97.898011054254937</v>
      </c>
      <c r="G22" s="17" t="s">
        <v>25</v>
      </c>
      <c r="H22" s="28">
        <v>662197</v>
      </c>
      <c r="I22" s="87">
        <v>662197</v>
      </c>
      <c r="J22" s="92">
        <v>635999.96</v>
      </c>
      <c r="K22" s="27">
        <f t="shared" si="6"/>
        <v>96.043920464755956</v>
      </c>
      <c r="L22" s="27">
        <f t="shared" si="7"/>
        <v>96.043920464755956</v>
      </c>
      <c r="M22" s="44">
        <v>3193380</v>
      </c>
      <c r="N22" s="95">
        <v>3190799</v>
      </c>
      <c r="O22" s="92">
        <v>3136006.49</v>
      </c>
      <c r="P22" s="27">
        <f t="shared" si="8"/>
        <v>98.203361015601033</v>
      </c>
      <c r="Q22" s="27">
        <f t="shared" si="9"/>
        <v>98.282796566001181</v>
      </c>
    </row>
    <row r="23" spans="1:17" ht="17.25" customHeight="1">
      <c r="A23" s="18" t="s">
        <v>26</v>
      </c>
      <c r="B23" s="53">
        <f t="shared" si="5"/>
        <v>13172</v>
      </c>
      <c r="C23" s="54">
        <f t="shared" si="5"/>
        <v>83672</v>
      </c>
      <c r="D23" s="35">
        <f t="shared" si="5"/>
        <v>141386.9</v>
      </c>
      <c r="E23" s="13">
        <f t="shared" si="0"/>
        <v>1073.3897661706649</v>
      </c>
      <c r="F23" s="13">
        <f t="shared" si="1"/>
        <v>168.97755521560379</v>
      </c>
      <c r="G23" s="18" t="s">
        <v>26</v>
      </c>
      <c r="H23" s="24">
        <v>11672</v>
      </c>
      <c r="I23" s="84">
        <v>11672</v>
      </c>
      <c r="J23" s="66">
        <v>70886.899999999994</v>
      </c>
      <c r="K23" s="27">
        <f t="shared" si="6"/>
        <v>607.32436600411233</v>
      </c>
      <c r="L23" s="27">
        <f t="shared" si="7"/>
        <v>607.32436600411233</v>
      </c>
      <c r="M23" s="42">
        <v>1500</v>
      </c>
      <c r="N23" s="75">
        <v>72000</v>
      </c>
      <c r="O23" s="66">
        <v>70500</v>
      </c>
      <c r="P23" s="27">
        <f t="shared" si="8"/>
        <v>4700</v>
      </c>
      <c r="Q23" s="27">
        <f t="shared" si="9"/>
        <v>97.916666666666657</v>
      </c>
    </row>
    <row r="24" spans="1:17" ht="31.5" customHeight="1">
      <c r="A24" s="17" t="s">
        <v>24</v>
      </c>
      <c r="B24" s="57">
        <f t="shared" si="5"/>
        <v>412230</v>
      </c>
      <c r="C24" s="58">
        <f t="shared" si="5"/>
        <v>315956</v>
      </c>
      <c r="D24" s="37">
        <f t="shared" si="5"/>
        <v>289864.06000000006</v>
      </c>
      <c r="E24" s="13">
        <f t="shared" si="0"/>
        <v>70.316100235305541</v>
      </c>
      <c r="F24" s="13">
        <f t="shared" si="1"/>
        <v>91.741907100988769</v>
      </c>
      <c r="G24" s="17" t="s">
        <v>24</v>
      </c>
      <c r="H24" s="28">
        <v>17507</v>
      </c>
      <c r="I24" s="87">
        <v>17507</v>
      </c>
      <c r="J24" s="68">
        <v>17506.72</v>
      </c>
      <c r="K24" s="27">
        <f t="shared" si="6"/>
        <v>99.998400639744105</v>
      </c>
      <c r="L24" s="27">
        <f t="shared" si="7"/>
        <v>99.998400639744105</v>
      </c>
      <c r="M24" s="44">
        <v>394723</v>
      </c>
      <c r="N24" s="95">
        <v>298449</v>
      </c>
      <c r="O24" s="92">
        <v>272357.34000000003</v>
      </c>
      <c r="P24" s="27">
        <f t="shared" si="8"/>
        <v>68.999612386407691</v>
      </c>
      <c r="Q24" s="27">
        <f t="shared" si="9"/>
        <v>91.257581697375443</v>
      </c>
    </row>
    <row r="25" spans="1:17" ht="33" hidden="1">
      <c r="A25" s="18" t="s">
        <v>27</v>
      </c>
      <c r="B25" s="53">
        <f t="shared" si="5"/>
        <v>0</v>
      </c>
      <c r="C25" s="54">
        <f t="shared" si="5"/>
        <v>0</v>
      </c>
      <c r="D25" s="35">
        <f t="shared" si="5"/>
        <v>0</v>
      </c>
      <c r="E25" s="13" t="e">
        <f t="shared" si="0"/>
        <v>#DIV/0!</v>
      </c>
      <c r="F25" s="13" t="e">
        <f t="shared" si="1"/>
        <v>#DIV/0!</v>
      </c>
      <c r="G25" s="18" t="s">
        <v>27</v>
      </c>
      <c r="H25" s="24">
        <v>0</v>
      </c>
      <c r="I25" s="84">
        <v>0</v>
      </c>
      <c r="J25" s="66">
        <v>0</v>
      </c>
      <c r="K25" s="27" t="e">
        <f t="shared" si="6"/>
        <v>#DIV/0!</v>
      </c>
      <c r="L25" s="27" t="e">
        <f t="shared" si="7"/>
        <v>#DIV/0!</v>
      </c>
      <c r="M25" s="42">
        <v>0</v>
      </c>
      <c r="N25" s="75"/>
      <c r="O25" s="66"/>
      <c r="P25" s="27" t="e">
        <f t="shared" si="8"/>
        <v>#DIV/0!</v>
      </c>
      <c r="Q25" s="27" t="e">
        <f t="shared" si="9"/>
        <v>#DIV/0!</v>
      </c>
    </row>
    <row r="26" spans="1:17" ht="18.75" customHeight="1">
      <c r="A26" s="16" t="s">
        <v>22</v>
      </c>
      <c r="B26" s="59">
        <f t="shared" si="5"/>
        <v>2827241</v>
      </c>
      <c r="C26" s="60">
        <f t="shared" si="5"/>
        <v>26498018</v>
      </c>
      <c r="D26" s="38">
        <f t="shared" si="5"/>
        <v>26991725.300000001</v>
      </c>
      <c r="E26" s="13">
        <f t="shared" si="0"/>
        <v>954.70196208954246</v>
      </c>
      <c r="F26" s="13">
        <f t="shared" si="1"/>
        <v>101.86318576732796</v>
      </c>
      <c r="G26" s="16" t="s">
        <v>22</v>
      </c>
      <c r="H26" s="19">
        <v>2827241</v>
      </c>
      <c r="I26" s="93">
        <v>26498018</v>
      </c>
      <c r="J26" s="81">
        <v>26991725.300000001</v>
      </c>
      <c r="K26" s="27">
        <f t="shared" si="6"/>
        <v>954.70196208954246</v>
      </c>
      <c r="L26" s="27">
        <f t="shared" si="7"/>
        <v>101.86318576732796</v>
      </c>
      <c r="M26" s="45">
        <v>0</v>
      </c>
      <c r="N26" s="78"/>
      <c r="O26" s="68"/>
      <c r="P26" s="27"/>
      <c r="Q26" s="27"/>
    </row>
    <row r="27" spans="1:17" ht="16.5">
      <c r="A27" s="14" t="s">
        <v>13</v>
      </c>
      <c r="B27" s="52">
        <f t="shared" si="5"/>
        <v>116746</v>
      </c>
      <c r="C27" s="47">
        <f t="shared" si="5"/>
        <v>516768.15</v>
      </c>
      <c r="D27" s="34">
        <f t="shared" si="5"/>
        <v>762351.08</v>
      </c>
      <c r="E27" s="13">
        <f t="shared" si="0"/>
        <v>652.99974303188117</v>
      </c>
      <c r="F27" s="13">
        <f t="shared" si="1"/>
        <v>147.52284559332844</v>
      </c>
      <c r="G27" s="14" t="s">
        <v>13</v>
      </c>
      <c r="H27" s="41">
        <v>116746</v>
      </c>
      <c r="I27" s="76">
        <v>383609.83</v>
      </c>
      <c r="J27" s="81">
        <v>515287.98</v>
      </c>
      <c r="K27" s="27">
        <f t="shared" si="6"/>
        <v>441.37527624072777</v>
      </c>
      <c r="L27" s="27">
        <f t="shared" si="7"/>
        <v>134.32606249949328</v>
      </c>
      <c r="M27" s="41">
        <v>0</v>
      </c>
      <c r="N27" s="73">
        <v>133158.32</v>
      </c>
      <c r="O27" s="81">
        <v>247063.1</v>
      </c>
      <c r="P27" s="27"/>
      <c r="Q27" s="27">
        <f t="shared" si="9"/>
        <v>185.54086594063369</v>
      </c>
    </row>
    <row r="28" spans="1:17" ht="29.25" customHeight="1">
      <c r="A28" s="16" t="s">
        <v>23</v>
      </c>
      <c r="B28" s="59">
        <f>B29+B30</f>
        <v>6050021</v>
      </c>
      <c r="C28" s="60">
        <f>C29+C30</f>
        <v>12527526.41</v>
      </c>
      <c r="D28" s="38">
        <f>D29+D30</f>
        <v>19122499.210000001</v>
      </c>
      <c r="E28" s="13">
        <f t="shared" si="0"/>
        <v>316.07326999360833</v>
      </c>
      <c r="F28" s="13">
        <f t="shared" si="1"/>
        <v>152.64385469373758</v>
      </c>
      <c r="G28" s="16" t="s">
        <v>23</v>
      </c>
      <c r="H28" s="29">
        <f>H29+H30</f>
        <v>2960100</v>
      </c>
      <c r="I28" s="88">
        <f>I29+I30</f>
        <v>2960100</v>
      </c>
      <c r="J28" s="69">
        <f>J29+J30</f>
        <v>7655081.9400000004</v>
      </c>
      <c r="K28" s="27">
        <f t="shared" si="6"/>
        <v>258.60889632107023</v>
      </c>
      <c r="L28" s="27">
        <f t="shared" si="7"/>
        <v>258.60889632107023</v>
      </c>
      <c r="M28" s="45">
        <f>M29+M30</f>
        <v>3089921</v>
      </c>
      <c r="N28" s="79">
        <f>N29+N30</f>
        <v>9567426.4100000001</v>
      </c>
      <c r="O28" s="69">
        <f>O29+O30</f>
        <v>11467417.27</v>
      </c>
      <c r="P28" s="27">
        <f t="shared" si="8"/>
        <v>371.12331577409259</v>
      </c>
      <c r="Q28" s="27">
        <f t="shared" si="9"/>
        <v>119.85895452526401</v>
      </c>
    </row>
    <row r="29" spans="1:17" ht="16.5">
      <c r="A29" s="15" t="s">
        <v>14</v>
      </c>
      <c r="B29" s="53">
        <f t="shared" ref="B29:D31" si="10">H29+M29</f>
        <v>995000</v>
      </c>
      <c r="C29" s="54">
        <f t="shared" si="10"/>
        <v>5166521.32</v>
      </c>
      <c r="D29" s="35">
        <f t="shared" si="10"/>
        <v>5875291.1800000006</v>
      </c>
      <c r="E29" s="13">
        <f t="shared" si="0"/>
        <v>590.48152562814073</v>
      </c>
      <c r="F29" s="13">
        <f t="shared" si="1"/>
        <v>113.71851224645677</v>
      </c>
      <c r="G29" s="15" t="s">
        <v>14</v>
      </c>
      <c r="H29" s="24">
        <v>475000</v>
      </c>
      <c r="I29" s="84">
        <v>475000</v>
      </c>
      <c r="J29" s="91">
        <v>1007668.11</v>
      </c>
      <c r="K29" s="27">
        <f t="shared" si="6"/>
        <v>212.14065473684212</v>
      </c>
      <c r="L29" s="27">
        <f t="shared" si="7"/>
        <v>212.14065473684212</v>
      </c>
      <c r="M29" s="42">
        <v>520000</v>
      </c>
      <c r="N29" s="94">
        <v>4691521.32</v>
      </c>
      <c r="O29" s="91">
        <v>4867623.07</v>
      </c>
      <c r="P29" s="27">
        <f t="shared" si="8"/>
        <v>936.0813596153846</v>
      </c>
      <c r="Q29" s="27">
        <f t="shared" si="9"/>
        <v>103.75361717422614</v>
      </c>
    </row>
    <row r="30" spans="1:17" ht="16.5">
      <c r="A30" s="15" t="s">
        <v>15</v>
      </c>
      <c r="B30" s="53">
        <f t="shared" si="10"/>
        <v>5055021</v>
      </c>
      <c r="C30" s="54">
        <f t="shared" si="10"/>
        <v>7361005.0899999999</v>
      </c>
      <c r="D30" s="35">
        <f t="shared" si="10"/>
        <v>13247208.030000001</v>
      </c>
      <c r="E30" s="13">
        <f t="shared" si="0"/>
        <v>262.06039559479575</v>
      </c>
      <c r="F30" s="13">
        <f t="shared" si="1"/>
        <v>179.96466335822086</v>
      </c>
      <c r="G30" s="15" t="s">
        <v>15</v>
      </c>
      <c r="H30" s="24">
        <v>2485100</v>
      </c>
      <c r="I30" s="84">
        <v>2485100</v>
      </c>
      <c r="J30" s="91">
        <f>6599265.83+48148</f>
        <v>6647413.8300000001</v>
      </c>
      <c r="K30" s="27">
        <f t="shared" si="6"/>
        <v>267.49079835821499</v>
      </c>
      <c r="L30" s="27">
        <f t="shared" si="7"/>
        <v>267.49079835821499</v>
      </c>
      <c r="M30" s="42">
        <v>2569921</v>
      </c>
      <c r="N30" s="94">
        <v>4875905.09</v>
      </c>
      <c r="O30" s="91">
        <v>6599794.2000000002</v>
      </c>
      <c r="P30" s="27">
        <f t="shared" si="8"/>
        <v>256.8092248750059</v>
      </c>
      <c r="Q30" s="27">
        <f t="shared" si="9"/>
        <v>135.35526385727908</v>
      </c>
    </row>
    <row r="31" spans="1:17" ht="16.5">
      <c r="A31" s="14" t="s">
        <v>16</v>
      </c>
      <c r="B31" s="52">
        <f t="shared" si="10"/>
        <v>777192</v>
      </c>
      <c r="C31" s="47">
        <f t="shared" si="10"/>
        <v>878492</v>
      </c>
      <c r="D31" s="34">
        <f t="shared" si="10"/>
        <v>707849.65</v>
      </c>
      <c r="E31" s="13">
        <f t="shared" si="0"/>
        <v>91.077835335412615</v>
      </c>
      <c r="F31" s="13">
        <f t="shared" si="1"/>
        <v>80.575537398177786</v>
      </c>
      <c r="G31" s="14" t="s">
        <v>16</v>
      </c>
      <c r="H31" s="22">
        <v>777192</v>
      </c>
      <c r="I31" s="82">
        <v>777192</v>
      </c>
      <c r="J31" s="81">
        <v>460117.39</v>
      </c>
      <c r="K31" s="27">
        <f t="shared" si="6"/>
        <v>59.2025381115606</v>
      </c>
      <c r="L31" s="27">
        <f t="shared" si="7"/>
        <v>59.2025381115606</v>
      </c>
      <c r="M31" s="41">
        <v>0</v>
      </c>
      <c r="N31" s="73">
        <v>101300</v>
      </c>
      <c r="O31" s="81">
        <v>247732.26</v>
      </c>
      <c r="P31" s="27"/>
      <c r="Q31" s="27">
        <f t="shared" si="9"/>
        <v>244.553070088845</v>
      </c>
    </row>
    <row r="32" spans="1:17" ht="16.5">
      <c r="A32" s="14" t="s">
        <v>17</v>
      </c>
      <c r="B32" s="52">
        <f>B33+B34+B35</f>
        <v>0</v>
      </c>
      <c r="C32" s="47">
        <f>C33+C34+C35</f>
        <v>9158917.4399999995</v>
      </c>
      <c r="D32" s="34">
        <f>D33+D34+D35</f>
        <v>9713790.7899999991</v>
      </c>
      <c r="E32" s="13" t="e">
        <f t="shared" si="0"/>
        <v>#DIV/0!</v>
      </c>
      <c r="F32" s="13">
        <f t="shared" si="1"/>
        <v>106.05828531193748</v>
      </c>
      <c r="G32" s="14" t="s">
        <v>17</v>
      </c>
      <c r="H32" s="22">
        <v>0</v>
      </c>
      <c r="I32" s="82">
        <f>I33+I34+I35</f>
        <v>0</v>
      </c>
      <c r="J32" s="32">
        <f>J33+J34+J35</f>
        <v>32439.85</v>
      </c>
      <c r="K32" s="27"/>
      <c r="L32" s="23"/>
      <c r="M32" s="41">
        <v>0</v>
      </c>
      <c r="N32" s="74">
        <f>N33+N34+N35</f>
        <v>9158917.4399999995</v>
      </c>
      <c r="O32" s="32">
        <f>O33+O34+O35</f>
        <v>9681350.9399999995</v>
      </c>
      <c r="P32" s="27"/>
      <c r="Q32" s="27">
        <f t="shared" si="9"/>
        <v>105.70409661865017</v>
      </c>
    </row>
    <row r="33" spans="1:17" ht="16.5">
      <c r="A33" s="15" t="s">
        <v>18</v>
      </c>
      <c r="B33" s="53">
        <f>H33+M33</f>
        <v>0</v>
      </c>
      <c r="C33" s="54">
        <f t="shared" ref="C33:D35" si="11">I33++N33</f>
        <v>0</v>
      </c>
      <c r="D33" s="35">
        <f t="shared" si="11"/>
        <v>-111120.9</v>
      </c>
      <c r="E33" s="13"/>
      <c r="F33" s="13"/>
      <c r="G33" s="15" t="s">
        <v>18</v>
      </c>
      <c r="H33" s="24"/>
      <c r="I33" s="84"/>
      <c r="J33" s="66">
        <v>-6065.15</v>
      </c>
      <c r="K33" s="27"/>
      <c r="L33" s="25"/>
      <c r="M33" s="42">
        <v>0</v>
      </c>
      <c r="N33" s="75">
        <v>0</v>
      </c>
      <c r="O33" s="81">
        <v>-105055.75</v>
      </c>
      <c r="P33" s="27"/>
      <c r="Q33" s="27"/>
    </row>
    <row r="34" spans="1:17" ht="16.5">
      <c r="A34" s="15" t="s">
        <v>19</v>
      </c>
      <c r="B34" s="53">
        <f>H34+M34</f>
        <v>0</v>
      </c>
      <c r="C34" s="54">
        <f t="shared" si="11"/>
        <v>9133817.4399999995</v>
      </c>
      <c r="D34" s="35">
        <f t="shared" si="11"/>
        <v>9799411.6899999995</v>
      </c>
      <c r="E34" s="13" t="e">
        <f t="shared" si="0"/>
        <v>#DIV/0!</v>
      </c>
      <c r="F34" s="13">
        <f t="shared" si="1"/>
        <v>107.28714203422922</v>
      </c>
      <c r="G34" s="15" t="s">
        <v>19</v>
      </c>
      <c r="H34" s="24">
        <v>0</v>
      </c>
      <c r="I34" s="84">
        <v>0</v>
      </c>
      <c r="J34" s="81">
        <v>38505</v>
      </c>
      <c r="K34" s="27"/>
      <c r="L34" s="25"/>
      <c r="M34" s="42">
        <v>0</v>
      </c>
      <c r="N34" s="73">
        <v>9133817.4399999995</v>
      </c>
      <c r="O34" s="81">
        <v>9760906.6899999995</v>
      </c>
      <c r="P34" s="27"/>
      <c r="Q34" s="27">
        <f t="shared" si="9"/>
        <v>106.86557678779269</v>
      </c>
    </row>
    <row r="35" spans="1:17" ht="16.5">
      <c r="A35" s="15" t="s">
        <v>38</v>
      </c>
      <c r="B35" s="53">
        <f>H35+M35</f>
        <v>0</v>
      </c>
      <c r="C35" s="54">
        <f t="shared" si="11"/>
        <v>25100</v>
      </c>
      <c r="D35" s="35">
        <f t="shared" si="11"/>
        <v>25500</v>
      </c>
      <c r="E35" s="13" t="e">
        <f t="shared" si="0"/>
        <v>#DIV/0!</v>
      </c>
      <c r="F35" s="13">
        <f t="shared" si="1"/>
        <v>101.59362549800797</v>
      </c>
      <c r="G35" s="15" t="str">
        <f>A35</f>
        <v>Средства самообложения граждан</v>
      </c>
      <c r="H35" s="24"/>
      <c r="I35" s="84"/>
      <c r="J35" s="66"/>
      <c r="K35" s="27"/>
      <c r="L35" s="25"/>
      <c r="M35" s="42">
        <v>0</v>
      </c>
      <c r="N35" s="73">
        <v>25100</v>
      </c>
      <c r="O35" s="81">
        <v>25500</v>
      </c>
      <c r="P35" s="27"/>
      <c r="Q35" s="27">
        <f t="shared" si="9"/>
        <v>101.59362549800797</v>
      </c>
    </row>
    <row r="36" spans="1:17" ht="21.75" customHeight="1" thickBot="1">
      <c r="A36" s="20" t="s">
        <v>20</v>
      </c>
      <c r="B36" s="61">
        <f>H36+M36</f>
        <v>236951325</v>
      </c>
      <c r="C36" s="62">
        <f>I36+N36</f>
        <v>282959974.94</v>
      </c>
      <c r="D36" s="39">
        <f>J36+O36</f>
        <v>303424703.55999994</v>
      </c>
      <c r="E36" s="48">
        <f t="shared" si="0"/>
        <v>128.05360069626113</v>
      </c>
      <c r="F36" s="48">
        <f t="shared" si="1"/>
        <v>107.23237575361652</v>
      </c>
      <c r="G36" s="20" t="s">
        <v>20</v>
      </c>
      <c r="H36" s="46">
        <f t="shared" ref="H36:Q36" si="12">H5</f>
        <v>148105387</v>
      </c>
      <c r="I36" s="80">
        <f t="shared" si="12"/>
        <v>172250077.83000001</v>
      </c>
      <c r="J36" s="70">
        <f t="shared" si="12"/>
        <v>185923970.84999996</v>
      </c>
      <c r="K36" s="49">
        <f t="shared" si="6"/>
        <v>125.53491443900009</v>
      </c>
      <c r="L36" s="31">
        <f t="shared" si="12"/>
        <v>107.93839584414889</v>
      </c>
      <c r="M36" s="46">
        <f t="shared" si="12"/>
        <v>88845938</v>
      </c>
      <c r="N36" s="80">
        <f t="shared" si="12"/>
        <v>110709897.11</v>
      </c>
      <c r="O36" s="70">
        <f t="shared" si="12"/>
        <v>117500732.71000001</v>
      </c>
      <c r="P36" s="31">
        <f t="shared" si="12"/>
        <v>132.25222824480733</v>
      </c>
      <c r="Q36" s="31">
        <f t="shared" si="12"/>
        <v>106.13390110303573</v>
      </c>
    </row>
    <row r="37" spans="1:17" ht="21.75" customHeight="1">
      <c r="A37" s="3"/>
      <c r="B37" s="4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</row>
    <row r="38" spans="1:17">
      <c r="A38" s="5"/>
      <c r="B38" s="4"/>
      <c r="C38" s="3"/>
      <c r="D38" s="3"/>
      <c r="E38" s="11"/>
      <c r="F38" s="11"/>
      <c r="G38" s="6"/>
      <c r="H38" s="3"/>
      <c r="I38" s="64"/>
      <c r="J38" s="3"/>
      <c r="K38" s="3"/>
      <c r="L38" s="3"/>
      <c r="M38" s="3"/>
      <c r="N38" s="4"/>
      <c r="O38" s="4"/>
      <c r="P38" s="11"/>
      <c r="Q38" s="3"/>
    </row>
    <row r="39" spans="1:17" hidden="1"/>
  </sheetData>
  <mergeCells count="6">
    <mergeCell ref="H3:L3"/>
    <mergeCell ref="M3:Q3"/>
    <mergeCell ref="A2:F2"/>
    <mergeCell ref="A3:A4"/>
    <mergeCell ref="B3:F3"/>
    <mergeCell ref="G3:G4"/>
  </mergeCells>
  <phoneticPr fontId="0" type="noConversion"/>
  <pageMargins left="0.7" right="0.7" top="0.75" bottom="0.75" header="0.3" footer="0.3"/>
  <pageSetup paperSize="9" scale="73" fitToWidth="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topLeftCell="A2" zoomScale="73" zoomScaleNormal="89" zoomScaleSheetLayoutView="73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17" sqref="A17:A18"/>
    </sheetView>
  </sheetViews>
  <sheetFormatPr defaultRowHeight="12.75"/>
  <cols>
    <col min="1" max="1" width="67.28515625" customWidth="1"/>
    <col min="2" max="3" width="13.5703125" style="1" customWidth="1"/>
    <col min="4" max="4" width="14.7109375" hidden="1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4.42578125" customWidth="1"/>
    <col min="10" max="10" width="13.5703125" customWidth="1"/>
    <col min="11" max="11" width="14.42578125" hidden="1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hidden="1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idden="1"/>
    <row r="2" spans="1:22" ht="20.25" customHeight="1" thickBot="1">
      <c r="A2" s="176" t="s">
        <v>48</v>
      </c>
      <c r="B2" s="176"/>
      <c r="C2" s="176"/>
      <c r="D2" s="176"/>
      <c r="E2" s="176"/>
      <c r="F2" s="176"/>
      <c r="G2" s="176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177" t="s">
        <v>0</v>
      </c>
      <c r="B3" s="171" t="s">
        <v>44</v>
      </c>
      <c r="C3" s="172"/>
      <c r="D3" s="172"/>
      <c r="E3" s="172"/>
      <c r="F3" s="172"/>
      <c r="G3" s="172"/>
      <c r="H3" s="140"/>
      <c r="I3" s="171" t="s">
        <v>31</v>
      </c>
      <c r="J3" s="172"/>
      <c r="K3" s="172"/>
      <c r="L3" s="172"/>
      <c r="M3" s="172"/>
      <c r="N3" s="172"/>
      <c r="O3" s="140"/>
      <c r="P3" s="173" t="s">
        <v>32</v>
      </c>
      <c r="Q3" s="174"/>
      <c r="R3" s="174"/>
      <c r="S3" s="174"/>
      <c r="T3" s="174"/>
      <c r="U3" s="174"/>
      <c r="V3" s="179"/>
    </row>
    <row r="4" spans="1:22" ht="74.25" customHeight="1">
      <c r="A4" s="178"/>
      <c r="B4" s="63" t="s">
        <v>39</v>
      </c>
      <c r="C4" s="8" t="s">
        <v>46</v>
      </c>
      <c r="D4" s="63" t="s">
        <v>47</v>
      </c>
      <c r="E4" s="10" t="s">
        <v>49</v>
      </c>
      <c r="F4" s="9" t="s">
        <v>40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9 месяцев</v>
      </c>
      <c r="L4" s="10" t="str">
        <f>E4</f>
        <v>Факт на 01/01.2015</v>
      </c>
      <c r="M4" s="9" t="s">
        <v>40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9 месяцев</v>
      </c>
      <c r="S4" s="145" t="str">
        <f>L4</f>
        <v>Факт на 01/01.2015</v>
      </c>
      <c r="T4" s="146" t="str">
        <f>M4</f>
        <v>% исп-я к утвержд. плану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248041311</v>
      </c>
      <c r="C5" s="50">
        <f>Q5+J5</f>
        <v>291817786.49000001</v>
      </c>
      <c r="D5" s="51">
        <f>D6+D8+D12+D19+D20+D21+D27+D28+D29+D32+D33+D7</f>
        <v>202312714.87000003</v>
      </c>
      <c r="E5" s="33">
        <f>E6+E8+E12+E19+E20+E21+E27+E28+E29+E32+E33+E7</f>
        <v>312525085.18999994</v>
      </c>
      <c r="F5" s="13">
        <f>E5/B5*100</f>
        <v>125.99719132673022</v>
      </c>
      <c r="G5" s="13">
        <f>E5/C5*100</f>
        <v>107.09596866903435</v>
      </c>
      <c r="H5" s="13">
        <f>E5-C5</f>
        <v>20707298.699999928</v>
      </c>
      <c r="I5" s="102">
        <f>I6+I8+I12+I19+I20+I21+I27+I28+I29+I32+I33+I7</f>
        <v>132541704</v>
      </c>
      <c r="J5" s="115">
        <f>J6+J8+J12+J19+J20+J21+J27+J28+J29+J32+J33+J7</f>
        <v>151622764.38</v>
      </c>
      <c r="K5" s="102">
        <f>K6+K8+K12+K19+K20+K21+K27+K28+K29+K32+K33+K7</f>
        <v>110436376.33</v>
      </c>
      <c r="L5" s="139">
        <f>L6+L8+L12+L19+L20+L21+L27+L28+L29+L32+L33+L7</f>
        <v>165715291.09999999</v>
      </c>
      <c r="M5" s="21">
        <f>L5/I5*100</f>
        <v>125.02879176806117</v>
      </c>
      <c r="N5" s="21">
        <f>L5/J5*100</f>
        <v>109.29446628784648</v>
      </c>
      <c r="O5" s="21">
        <f>L5-J5</f>
        <v>14092526.719999999</v>
      </c>
      <c r="P5" s="102">
        <f>P6+P8+P12+P19+P20+P21+P27+P28+P29+P32+P33+P7</f>
        <v>115499607</v>
      </c>
      <c r="Q5" s="115">
        <f>Q6+Q8+Q12+Q19+Q20+Q21+Q27+Q28+Q29+Q32+Q33+Q7</f>
        <v>140195022.11000001</v>
      </c>
      <c r="R5" s="123">
        <f>R6+R8+R12+R19+R20+R21+R27+R28+R29+R32+R33+R7</f>
        <v>91876338.539999992</v>
      </c>
      <c r="S5" s="65">
        <f>S6+S8+S12+S19+S20+S21+S27+S28+S29+S32+S33+S7</f>
        <v>146809794.09</v>
      </c>
      <c r="T5" s="21">
        <f>S5/P5*100</f>
        <v>127.10847933015046</v>
      </c>
      <c r="U5" s="148">
        <f>S5/Q5*100</f>
        <v>104.71826451499105</v>
      </c>
      <c r="V5" s="150">
        <f>S5-Q5</f>
        <v>6614771.9799999893</v>
      </c>
    </row>
    <row r="6" spans="1:22" ht="16.5">
      <c r="A6" s="14" t="s">
        <v>28</v>
      </c>
      <c r="B6" s="97">
        <f>I6+P6</f>
        <v>80578377</v>
      </c>
      <c r="C6" s="50">
        <f t="shared" ref="C6:C37" si="0">Q6+J6</f>
        <v>80282632.5</v>
      </c>
      <c r="D6" s="47">
        <f>K6+R6</f>
        <v>57113715</v>
      </c>
      <c r="E6" s="34">
        <f>L6+S6</f>
        <v>80410476.449999988</v>
      </c>
      <c r="F6" s="13">
        <f t="shared" ref="F6:F37" si="1">E6/B6*100</f>
        <v>99.791630762183246</v>
      </c>
      <c r="G6" s="13">
        <f t="shared" ref="G6:G37" si="2">E6/C6*100</f>
        <v>100.15924234920921</v>
      </c>
      <c r="H6" s="13">
        <f t="shared" ref="H6:H37" si="3">E6-C6</f>
        <v>127843.94999998808</v>
      </c>
      <c r="I6" s="30">
        <v>58991700</v>
      </c>
      <c r="J6" s="116">
        <v>58991700</v>
      </c>
      <c r="K6" s="76">
        <v>41605419</v>
      </c>
      <c r="L6" s="81">
        <v>58754101.479999997</v>
      </c>
      <c r="M6" s="21">
        <f>L6/I6*100</f>
        <v>99.597233983763815</v>
      </c>
      <c r="N6" s="21">
        <f>L6/J6*100</f>
        <v>99.597233983763815</v>
      </c>
      <c r="O6" s="21">
        <f t="shared" ref="O6:O37" si="4">L6-J6</f>
        <v>-237598.52000000328</v>
      </c>
      <c r="P6" s="103">
        <v>21586677</v>
      </c>
      <c r="Q6" s="41">
        <v>21290932.5</v>
      </c>
      <c r="R6" s="96">
        <v>15508296</v>
      </c>
      <c r="S6" s="81">
        <v>21656374.969999999</v>
      </c>
      <c r="T6" s="21">
        <f>S6/P6*100</f>
        <v>100.3228749380926</v>
      </c>
      <c r="U6" s="148">
        <f t="shared" ref="U6:U37" si="5">S6/Q6*100</f>
        <v>101.71642303595674</v>
      </c>
      <c r="V6" s="150">
        <f t="shared" ref="V6:V37" si="6">S6-Q6</f>
        <v>365442.46999999881</v>
      </c>
    </row>
    <row r="7" spans="1:22" ht="16.5">
      <c r="A7" s="14" t="s">
        <v>45</v>
      </c>
      <c r="B7" s="97">
        <f>I7+P7</f>
        <v>33873138</v>
      </c>
      <c r="C7" s="50">
        <f t="shared" si="0"/>
        <v>33509509</v>
      </c>
      <c r="D7" s="47">
        <f>K7+R7</f>
        <v>24496415</v>
      </c>
      <c r="E7" s="34">
        <f>L7+S7</f>
        <v>27904410.960000001</v>
      </c>
      <c r="F7" s="13">
        <f t="shared" si="1"/>
        <v>82.379173019045353</v>
      </c>
      <c r="G7" s="13">
        <f t="shared" si="2"/>
        <v>83.273111999343229</v>
      </c>
      <c r="H7" s="13">
        <f t="shared" si="3"/>
        <v>-5605098.0399999991</v>
      </c>
      <c r="I7" s="30">
        <v>14324000</v>
      </c>
      <c r="J7" s="116">
        <v>14324000</v>
      </c>
      <c r="K7" s="76">
        <v>10737896</v>
      </c>
      <c r="L7" s="81">
        <v>11787337.98</v>
      </c>
      <c r="M7" s="21">
        <f t="shared" ref="M7:M12" si="7">L7/I7*100</f>
        <v>82.290826445127067</v>
      </c>
      <c r="N7" s="21">
        <f t="shared" ref="N7:N12" si="8">L7/J7*100</f>
        <v>82.290826445127067</v>
      </c>
      <c r="O7" s="152">
        <f t="shared" si="4"/>
        <v>-2536662.0199999996</v>
      </c>
      <c r="P7" s="103">
        <v>19549138</v>
      </c>
      <c r="Q7" s="41">
        <v>19185509</v>
      </c>
      <c r="R7" s="96">
        <v>13758519</v>
      </c>
      <c r="S7" s="81">
        <v>16117072.98</v>
      </c>
      <c r="T7" s="21">
        <f>S7/P7*100</f>
        <v>82.443906120055004</v>
      </c>
      <c r="U7" s="148">
        <f t="shared" si="5"/>
        <v>84.00649146186322</v>
      </c>
      <c r="V7" s="153">
        <f t="shared" si="6"/>
        <v>-3068436.0199999996</v>
      </c>
    </row>
    <row r="8" spans="1:22" ht="16.5">
      <c r="A8" s="14" t="s">
        <v>2</v>
      </c>
      <c r="B8" s="97">
        <f>B9+B11+B10</f>
        <v>10183366</v>
      </c>
      <c r="C8" s="50">
        <f t="shared" si="0"/>
        <v>14836314.16</v>
      </c>
      <c r="D8" s="47">
        <f>D9+D11+D10</f>
        <v>11238767.17</v>
      </c>
      <c r="E8" s="34">
        <f>E9+E11+E10</f>
        <v>15152127.109999999</v>
      </c>
      <c r="F8" s="13">
        <f t="shared" si="1"/>
        <v>148.79291493598481</v>
      </c>
      <c r="G8" s="13">
        <f t="shared" si="2"/>
        <v>102.12864830573255</v>
      </c>
      <c r="H8" s="13">
        <f t="shared" si="3"/>
        <v>315812.94999999925</v>
      </c>
      <c r="I8" s="30">
        <f>I9+I11+I10</f>
        <v>9602800</v>
      </c>
      <c r="J8" s="116">
        <f>J9+J11+J10</f>
        <v>9602800</v>
      </c>
      <c r="K8" s="103">
        <f>K9+K11+K10</f>
        <v>7060266</v>
      </c>
      <c r="L8" s="32">
        <f>L9+L10</f>
        <v>9671791.8000000007</v>
      </c>
      <c r="M8" s="21">
        <f t="shared" si="7"/>
        <v>100.71845503394843</v>
      </c>
      <c r="N8" s="21">
        <f t="shared" si="8"/>
        <v>100.71845503394843</v>
      </c>
      <c r="O8" s="21">
        <f t="shared" si="4"/>
        <v>68991.800000000745</v>
      </c>
      <c r="P8" s="103">
        <f>P9+P11</f>
        <v>580566</v>
      </c>
      <c r="Q8" s="41">
        <f>Q9+Q10+Q11</f>
        <v>5233514.16</v>
      </c>
      <c r="R8" s="124">
        <f>R9+R11</f>
        <v>4178501.17</v>
      </c>
      <c r="S8" s="32">
        <f>S9+S11</f>
        <v>5480335.3099999996</v>
      </c>
      <c r="T8" s="21">
        <f>S8/P8*100</f>
        <v>943.96421939968923</v>
      </c>
      <c r="U8" s="148">
        <f t="shared" si="5"/>
        <v>104.71616474999659</v>
      </c>
      <c r="V8" s="150">
        <f t="shared" si="6"/>
        <v>246821.14999999944</v>
      </c>
    </row>
    <row r="9" spans="1:22" ht="16.5">
      <c r="A9" s="15" t="s">
        <v>3</v>
      </c>
      <c r="B9" s="98">
        <f>I9+P9</f>
        <v>9350900</v>
      </c>
      <c r="C9" s="50">
        <f t="shared" si="0"/>
        <v>9350900</v>
      </c>
      <c r="D9" s="54">
        <f t="shared" ref="D9:E11" si="9">K9+R9</f>
        <v>6891606</v>
      </c>
      <c r="E9" s="35">
        <f t="shared" si="9"/>
        <v>9349114.3000000007</v>
      </c>
      <c r="F9" s="13">
        <f t="shared" si="1"/>
        <v>99.980903442449403</v>
      </c>
      <c r="G9" s="13">
        <f t="shared" si="2"/>
        <v>99.980903442449403</v>
      </c>
      <c r="H9" s="13">
        <f t="shared" si="3"/>
        <v>-1785.6999999992549</v>
      </c>
      <c r="I9" s="109">
        <v>9350900</v>
      </c>
      <c r="J9" s="117">
        <v>9350900</v>
      </c>
      <c r="K9" s="84">
        <v>6891606</v>
      </c>
      <c r="L9" s="91">
        <v>9349114.3000000007</v>
      </c>
      <c r="M9" s="21">
        <f t="shared" si="7"/>
        <v>99.980903442449403</v>
      </c>
      <c r="N9" s="21">
        <f t="shared" si="8"/>
        <v>99.980903442449403</v>
      </c>
      <c r="O9" s="21">
        <f t="shared" si="4"/>
        <v>-1785.6999999992549</v>
      </c>
      <c r="P9" s="103">
        <f>R9+S9+T9+U9</f>
        <v>0</v>
      </c>
      <c r="Q9" s="41">
        <f>P9</f>
        <v>0</v>
      </c>
      <c r="R9" s="125">
        <v>0</v>
      </c>
      <c r="S9" s="66">
        <v>0</v>
      </c>
      <c r="T9" s="21"/>
      <c r="U9" s="148"/>
      <c r="V9" s="150">
        <f t="shared" si="6"/>
        <v>0</v>
      </c>
    </row>
    <row r="10" spans="1:22" ht="16.5">
      <c r="A10" s="15" t="s">
        <v>35</v>
      </c>
      <c r="B10" s="98">
        <f>I10+P10</f>
        <v>251900</v>
      </c>
      <c r="C10" s="50">
        <f t="shared" si="0"/>
        <v>251900</v>
      </c>
      <c r="D10" s="54">
        <f t="shared" si="9"/>
        <v>168660</v>
      </c>
      <c r="E10" s="35">
        <f t="shared" si="9"/>
        <v>322677.5</v>
      </c>
      <c r="F10" s="13">
        <f t="shared" si="1"/>
        <v>128.0974593092497</v>
      </c>
      <c r="G10" s="13">
        <f t="shared" si="2"/>
        <v>128.0974593092497</v>
      </c>
      <c r="H10" s="13">
        <f t="shared" si="3"/>
        <v>70777.5</v>
      </c>
      <c r="I10" s="109">
        <v>251900</v>
      </c>
      <c r="J10" s="117">
        <v>251900</v>
      </c>
      <c r="K10" s="84">
        <v>168660</v>
      </c>
      <c r="L10" s="91">
        <v>322677.5</v>
      </c>
      <c r="M10" s="21">
        <f t="shared" si="7"/>
        <v>128.0974593092497</v>
      </c>
      <c r="N10" s="21">
        <f t="shared" si="8"/>
        <v>128.0974593092497</v>
      </c>
      <c r="O10" s="21">
        <f t="shared" si="4"/>
        <v>70777.5</v>
      </c>
      <c r="P10" s="103"/>
      <c r="Q10" s="41">
        <f>P10</f>
        <v>0</v>
      </c>
      <c r="R10" s="125"/>
      <c r="S10" s="66"/>
      <c r="T10" s="21"/>
      <c r="U10" s="148"/>
      <c r="V10" s="150">
        <f t="shared" si="6"/>
        <v>0</v>
      </c>
    </row>
    <row r="11" spans="1:22" ht="16.5">
      <c r="A11" s="15" t="s">
        <v>29</v>
      </c>
      <c r="B11" s="98">
        <f>I11+P11</f>
        <v>580566</v>
      </c>
      <c r="C11" s="50">
        <f t="shared" si="0"/>
        <v>5233514.16</v>
      </c>
      <c r="D11" s="54">
        <f t="shared" si="9"/>
        <v>4178501.17</v>
      </c>
      <c r="E11" s="35">
        <f t="shared" si="9"/>
        <v>5480335.3099999996</v>
      </c>
      <c r="F11" s="13">
        <f t="shared" si="1"/>
        <v>943.96421939968923</v>
      </c>
      <c r="G11" s="13">
        <f t="shared" si="2"/>
        <v>104.71616474999659</v>
      </c>
      <c r="H11" s="13">
        <f t="shared" si="3"/>
        <v>246821.14999999944</v>
      </c>
      <c r="I11" s="109">
        <v>0</v>
      </c>
      <c r="J11" s="117">
        <v>0</v>
      </c>
      <c r="K11" s="84">
        <v>0</v>
      </c>
      <c r="L11" s="66">
        <v>0</v>
      </c>
      <c r="M11" s="21"/>
      <c r="N11" s="21"/>
      <c r="O11" s="21">
        <f t="shared" si="4"/>
        <v>0</v>
      </c>
      <c r="P11" s="104">
        <v>580566</v>
      </c>
      <c r="Q11" s="42">
        <v>5233514.16</v>
      </c>
      <c r="R11" s="126">
        <v>4178501.17</v>
      </c>
      <c r="S11" s="91">
        <v>5480335.3099999996</v>
      </c>
      <c r="T11" s="21">
        <f>S11/P11*100</f>
        <v>943.96421939968923</v>
      </c>
      <c r="U11" s="148">
        <f t="shared" si="5"/>
        <v>104.71616474999659</v>
      </c>
      <c r="V11" s="150">
        <f t="shared" si="6"/>
        <v>246821.14999999944</v>
      </c>
    </row>
    <row r="12" spans="1:22" ht="16.5">
      <c r="A12" s="14" t="s">
        <v>4</v>
      </c>
      <c r="B12" s="97">
        <f>B13+B14+B15+B16</f>
        <v>52586391</v>
      </c>
      <c r="C12" s="50">
        <f t="shared" si="0"/>
        <v>55704470.25</v>
      </c>
      <c r="D12" s="47">
        <f>D13+D14+D15+D16</f>
        <v>28127677.579999998</v>
      </c>
      <c r="E12" s="34">
        <f>E13+E14+E15+E16</f>
        <v>59379998.859999999</v>
      </c>
      <c r="F12" s="13">
        <f t="shared" si="1"/>
        <v>112.91894676704473</v>
      </c>
      <c r="G12" s="13">
        <f t="shared" si="2"/>
        <v>106.59826508268428</v>
      </c>
      <c r="H12" s="13">
        <f t="shared" si="3"/>
        <v>3675528.6099999994</v>
      </c>
      <c r="I12" s="30">
        <f>I13+I14+I15+I16</f>
        <v>14239885</v>
      </c>
      <c r="J12" s="116">
        <f>J13+J14+J15+J16</f>
        <v>14239885</v>
      </c>
      <c r="K12" s="82">
        <f>K13+K14+K15+K16</f>
        <v>6728626</v>
      </c>
      <c r="L12" s="32">
        <f>L13+L14+L15+L16</f>
        <v>15198222.539999999</v>
      </c>
      <c r="M12" s="21">
        <f t="shared" si="7"/>
        <v>106.72995280509639</v>
      </c>
      <c r="N12" s="21">
        <f t="shared" si="8"/>
        <v>106.72995280509639</v>
      </c>
      <c r="O12" s="21">
        <f t="shared" si="4"/>
        <v>958337.53999999911</v>
      </c>
      <c r="P12" s="103">
        <f>P13+P14+P15+P16</f>
        <v>38346506</v>
      </c>
      <c r="Q12" s="41">
        <f>Q13+Q14+Q16</f>
        <v>41464585.25</v>
      </c>
      <c r="R12" s="127">
        <f>R13+R14+R15+R16</f>
        <v>21399051.579999998</v>
      </c>
      <c r="S12" s="32">
        <f>S13+S14+S15+S16</f>
        <v>44181776.32</v>
      </c>
      <c r="T12" s="21">
        <f>S12/P12*100</f>
        <v>115.21721514862398</v>
      </c>
      <c r="U12" s="148">
        <f t="shared" si="5"/>
        <v>106.55304051304842</v>
      </c>
      <c r="V12" s="150">
        <f t="shared" si="6"/>
        <v>2717191.0700000003</v>
      </c>
    </row>
    <row r="13" spans="1:22" ht="16.5">
      <c r="A13" s="15" t="s">
        <v>30</v>
      </c>
      <c r="B13" s="98">
        <f>I13+P13</f>
        <v>4995543</v>
      </c>
      <c r="C13" s="50">
        <f t="shared" si="0"/>
        <v>4844980.3899999997</v>
      </c>
      <c r="D13" s="54">
        <f t="shared" ref="D13:E15" si="10">K13+R13</f>
        <v>2002856</v>
      </c>
      <c r="E13" s="35">
        <f t="shared" si="10"/>
        <v>4900093.6100000003</v>
      </c>
      <c r="F13" s="13">
        <f t="shared" si="1"/>
        <v>98.089309010051565</v>
      </c>
      <c r="G13" s="13">
        <f t="shared" si="2"/>
        <v>101.13753236470788</v>
      </c>
      <c r="H13" s="13">
        <f t="shared" si="3"/>
        <v>55113.220000000671</v>
      </c>
      <c r="I13" s="109">
        <f>K13+L13+M13+N13</f>
        <v>0</v>
      </c>
      <c r="J13" s="117"/>
      <c r="K13" s="84">
        <v>0</v>
      </c>
      <c r="L13" s="66">
        <v>0</v>
      </c>
      <c r="M13" s="21"/>
      <c r="N13" s="25">
        <v>0</v>
      </c>
      <c r="O13" s="21">
        <f t="shared" si="4"/>
        <v>0</v>
      </c>
      <c r="P13" s="104">
        <v>4995543</v>
      </c>
      <c r="Q13" s="42">
        <v>4844980.3899999997</v>
      </c>
      <c r="R13" s="126">
        <v>2002856</v>
      </c>
      <c r="S13" s="91">
        <v>4900093.6100000003</v>
      </c>
      <c r="T13" s="21">
        <f>S13/P13*100</f>
        <v>98.089309010051565</v>
      </c>
      <c r="U13" s="148">
        <f t="shared" si="5"/>
        <v>101.13753236470788</v>
      </c>
      <c r="V13" s="150">
        <f t="shared" si="6"/>
        <v>55113.220000000671</v>
      </c>
    </row>
    <row r="14" spans="1:22" ht="16.5">
      <c r="A14" s="15" t="s">
        <v>5</v>
      </c>
      <c r="B14" s="98">
        <f>I14+P14</f>
        <v>19055809</v>
      </c>
      <c r="C14" s="50">
        <f t="shared" si="0"/>
        <v>21652734.07</v>
      </c>
      <c r="D14" s="54">
        <f t="shared" si="10"/>
        <v>12965136.15</v>
      </c>
      <c r="E14" s="35">
        <f t="shared" si="10"/>
        <v>24083453.170000002</v>
      </c>
      <c r="F14" s="13">
        <f t="shared" si="1"/>
        <v>126.38378758939072</v>
      </c>
      <c r="G14" s="13">
        <f t="shared" si="2"/>
        <v>111.22592228834407</v>
      </c>
      <c r="H14" s="13">
        <f t="shared" si="3"/>
        <v>2430719.1000000015</v>
      </c>
      <c r="I14" s="109">
        <f>K14+L14+M14+N14</f>
        <v>0</v>
      </c>
      <c r="J14" s="117"/>
      <c r="K14" s="84">
        <v>0</v>
      </c>
      <c r="L14" s="66">
        <v>0</v>
      </c>
      <c r="M14" s="21"/>
      <c r="N14" s="25">
        <v>0</v>
      </c>
      <c r="O14" s="21">
        <f t="shared" si="4"/>
        <v>0</v>
      </c>
      <c r="P14" s="104">
        <v>19055809</v>
      </c>
      <c r="Q14" s="42">
        <v>21652734.07</v>
      </c>
      <c r="R14" s="126">
        <v>12965136.15</v>
      </c>
      <c r="S14" s="91">
        <v>24083453.170000002</v>
      </c>
      <c r="T14" s="21">
        <f>S14/P14*100</f>
        <v>126.38378758939072</v>
      </c>
      <c r="U14" s="148">
        <f t="shared" si="5"/>
        <v>111.22592228834407</v>
      </c>
      <c r="V14" s="153">
        <f t="shared" si="6"/>
        <v>2430719.1000000015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0"/>
        <v>0</v>
      </c>
      <c r="E15" s="35">
        <f t="shared" si="10"/>
        <v>0</v>
      </c>
      <c r="F15" s="13"/>
      <c r="G15" s="13"/>
      <c r="H15" s="13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21"/>
      <c r="N15" s="25"/>
      <c r="O15" s="21">
        <f t="shared" si="4"/>
        <v>0</v>
      </c>
      <c r="P15" s="104">
        <f>R15+S15+T15+U15</f>
        <v>0</v>
      </c>
      <c r="Q15" s="41">
        <f>P15</f>
        <v>0</v>
      </c>
      <c r="R15" s="125">
        <v>0</v>
      </c>
      <c r="S15" s="66">
        <v>0</v>
      </c>
      <c r="T15" s="21"/>
      <c r="U15" s="148"/>
      <c r="V15" s="150">
        <f t="shared" si="6"/>
        <v>0</v>
      </c>
    </row>
    <row r="16" spans="1:22" ht="16.5">
      <c r="A16" s="14" t="s">
        <v>7</v>
      </c>
      <c r="B16" s="97">
        <f>B17+B18</f>
        <v>28535039</v>
      </c>
      <c r="C16" s="50">
        <f t="shared" si="0"/>
        <v>29206755.789999999</v>
      </c>
      <c r="D16" s="47">
        <f>D17+D18</f>
        <v>13159685.43</v>
      </c>
      <c r="E16" s="34">
        <f>E17+E18</f>
        <v>30396452.080000002</v>
      </c>
      <c r="F16" s="13">
        <f t="shared" si="1"/>
        <v>106.52325402463967</v>
      </c>
      <c r="G16" s="13">
        <f t="shared" si="2"/>
        <v>104.0733599395772</v>
      </c>
      <c r="H16" s="13">
        <f t="shared" si="3"/>
        <v>1189696.2900000028</v>
      </c>
      <c r="I16" s="30">
        <f>I17+I18</f>
        <v>14239885</v>
      </c>
      <c r="J16" s="116">
        <f>J17+J18</f>
        <v>14239885</v>
      </c>
      <c r="K16" s="82">
        <f>K17+K18</f>
        <v>6728626</v>
      </c>
      <c r="L16" s="32">
        <f>L17+L18</f>
        <v>15198222.539999999</v>
      </c>
      <c r="M16" s="21">
        <f>L16/I16*100</f>
        <v>106.72995280509639</v>
      </c>
      <c r="N16" s="25">
        <f>L16/J16*100</f>
        <v>106.72995280509639</v>
      </c>
      <c r="O16" s="21">
        <f t="shared" si="4"/>
        <v>958337.53999999911</v>
      </c>
      <c r="P16" s="103">
        <f>P17+P18</f>
        <v>14295154</v>
      </c>
      <c r="Q16" s="41">
        <f>Q17+Q18</f>
        <v>14966870.790000001</v>
      </c>
      <c r="R16" s="127">
        <f>R17+R18</f>
        <v>6431059.4299999997</v>
      </c>
      <c r="S16" s="32">
        <f>S17+S18</f>
        <v>15198229.539999999</v>
      </c>
      <c r="T16" s="21">
        <f>S16/P16*100</f>
        <v>106.31735439856051</v>
      </c>
      <c r="U16" s="148">
        <f t="shared" si="5"/>
        <v>101.5458057548982</v>
      </c>
      <c r="V16" s="150">
        <f t="shared" si="6"/>
        <v>231358.74999999814</v>
      </c>
    </row>
    <row r="17" spans="1:22" ht="16.5">
      <c r="A17" s="15" t="s">
        <v>8</v>
      </c>
      <c r="B17" s="98">
        <f>I17+P17</f>
        <v>4181134</v>
      </c>
      <c r="C17" s="50">
        <f t="shared" si="0"/>
        <v>4074038.05</v>
      </c>
      <c r="D17" s="54">
        <f t="shared" ref="D17:E20" si="11">K17+R17</f>
        <v>3254603.4299999997</v>
      </c>
      <c r="E17" s="35">
        <f t="shared" si="11"/>
        <v>3621872.55</v>
      </c>
      <c r="F17" s="13">
        <f t="shared" si="1"/>
        <v>86.624168228045306</v>
      </c>
      <c r="G17" s="13">
        <f t="shared" si="2"/>
        <v>88.9012941349431</v>
      </c>
      <c r="H17" s="13">
        <f t="shared" si="3"/>
        <v>-452165.5</v>
      </c>
      <c r="I17" s="109">
        <v>2034933</v>
      </c>
      <c r="J17" s="117">
        <v>2034933</v>
      </c>
      <c r="K17" s="132">
        <v>1688994</v>
      </c>
      <c r="L17" s="91">
        <v>1810936.02</v>
      </c>
      <c r="M17" s="21">
        <f t="shared" ref="M17:M37" si="12">L17/I17*100</f>
        <v>88.992414983687425</v>
      </c>
      <c r="N17" s="25">
        <f t="shared" ref="N17:N37" si="13">L17/J17*100</f>
        <v>88.992414983687425</v>
      </c>
      <c r="O17" s="21">
        <f t="shared" si="4"/>
        <v>-223996.97999999998</v>
      </c>
      <c r="P17" s="104">
        <v>2146201</v>
      </c>
      <c r="Q17" s="42">
        <v>2039105.05</v>
      </c>
      <c r="R17" s="126">
        <v>1565609.43</v>
      </c>
      <c r="S17" s="91">
        <v>1810936.53</v>
      </c>
      <c r="T17" s="21">
        <f t="shared" ref="T17:T37" si="14">S17/P17*100</f>
        <v>84.378701249323811</v>
      </c>
      <c r="U17" s="148">
        <f t="shared" si="5"/>
        <v>88.810359721290482</v>
      </c>
      <c r="V17" s="150">
        <f t="shared" si="6"/>
        <v>-228168.52000000002</v>
      </c>
    </row>
    <row r="18" spans="1:22" ht="16.5">
      <c r="A18" s="15" t="s">
        <v>9</v>
      </c>
      <c r="B18" s="98">
        <f>I18+P18</f>
        <v>24353905</v>
      </c>
      <c r="C18" s="50">
        <f t="shared" si="0"/>
        <v>25132717.740000002</v>
      </c>
      <c r="D18" s="54">
        <f t="shared" si="11"/>
        <v>9905082</v>
      </c>
      <c r="E18" s="35">
        <f t="shared" si="11"/>
        <v>26774579.530000001</v>
      </c>
      <c r="F18" s="13">
        <f t="shared" si="1"/>
        <v>109.93957449534275</v>
      </c>
      <c r="G18" s="13">
        <f t="shared" si="2"/>
        <v>106.53276659924005</v>
      </c>
      <c r="H18" s="13">
        <f t="shared" si="3"/>
        <v>1641861.7899999991</v>
      </c>
      <c r="I18" s="109">
        <v>12204952</v>
      </c>
      <c r="J18" s="117">
        <v>12204952</v>
      </c>
      <c r="K18" s="84">
        <v>5039632</v>
      </c>
      <c r="L18" s="91">
        <v>13387286.52</v>
      </c>
      <c r="M18" s="21">
        <f t="shared" si="12"/>
        <v>109.68733445244192</v>
      </c>
      <c r="N18" s="25">
        <f t="shared" si="13"/>
        <v>109.68733445244192</v>
      </c>
      <c r="O18" s="21">
        <f t="shared" si="4"/>
        <v>1182334.5199999996</v>
      </c>
      <c r="P18" s="104">
        <v>12148953</v>
      </c>
      <c r="Q18" s="42">
        <v>12927765.74</v>
      </c>
      <c r="R18" s="126">
        <v>4865450</v>
      </c>
      <c r="S18" s="91">
        <v>13387293.01</v>
      </c>
      <c r="T18" s="21">
        <f t="shared" si="14"/>
        <v>110.19297720552545</v>
      </c>
      <c r="U18" s="148">
        <f t="shared" si="5"/>
        <v>103.5545760902688</v>
      </c>
      <c r="V18" s="150">
        <f t="shared" si="6"/>
        <v>459527.26999999955</v>
      </c>
    </row>
    <row r="19" spans="1:22" ht="16.5">
      <c r="A19" s="14" t="s">
        <v>10</v>
      </c>
      <c r="B19" s="97">
        <f>I19+P19</f>
        <v>1188809</v>
      </c>
      <c r="C19" s="50">
        <f t="shared" si="0"/>
        <v>1213077</v>
      </c>
      <c r="D19" s="47">
        <f t="shared" si="11"/>
        <v>1044491</v>
      </c>
      <c r="E19" s="34">
        <f t="shared" si="11"/>
        <v>1466323.65</v>
      </c>
      <c r="F19" s="13">
        <f t="shared" si="1"/>
        <v>123.34392236263352</v>
      </c>
      <c r="G19" s="13">
        <f t="shared" si="2"/>
        <v>120.87638707188412</v>
      </c>
      <c r="H19" s="13">
        <f t="shared" si="3"/>
        <v>253246.64999999991</v>
      </c>
      <c r="I19" s="30">
        <v>721137</v>
      </c>
      <c r="J19" s="116">
        <v>721137</v>
      </c>
      <c r="K19" s="73">
        <v>692785</v>
      </c>
      <c r="L19" s="81">
        <v>903651.15</v>
      </c>
      <c r="M19" s="21">
        <f t="shared" si="12"/>
        <v>125.30922002337974</v>
      </c>
      <c r="N19" s="25">
        <f t="shared" si="13"/>
        <v>125.30922002337974</v>
      </c>
      <c r="O19" s="21">
        <f t="shared" si="4"/>
        <v>182514.15000000002</v>
      </c>
      <c r="P19" s="103">
        <v>467672</v>
      </c>
      <c r="Q19" s="41">
        <v>491940</v>
      </c>
      <c r="R19" s="96">
        <v>351706</v>
      </c>
      <c r="S19" s="81">
        <v>562672.5</v>
      </c>
      <c r="T19" s="21">
        <f t="shared" si="14"/>
        <v>120.31348894096719</v>
      </c>
      <c r="U19" s="148">
        <f t="shared" si="5"/>
        <v>114.37827783876082</v>
      </c>
      <c r="V19" s="150">
        <f t="shared" si="6"/>
        <v>70732.5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1"/>
        <v>0</v>
      </c>
      <c r="E20" s="34">
        <f t="shared" si="11"/>
        <v>497.8</v>
      </c>
      <c r="F20" s="13"/>
      <c r="G20" s="13"/>
      <c r="H20" s="13">
        <f t="shared" si="3"/>
        <v>497.8</v>
      </c>
      <c r="I20" s="109">
        <v>0</v>
      </c>
      <c r="J20" s="117">
        <v>0</v>
      </c>
      <c r="K20" s="84">
        <v>0</v>
      </c>
      <c r="L20" s="81">
        <v>497.8</v>
      </c>
      <c r="M20" s="21"/>
      <c r="N20" s="25"/>
      <c r="O20" s="21">
        <f t="shared" si="4"/>
        <v>497.8</v>
      </c>
      <c r="P20" s="104">
        <v>0</v>
      </c>
      <c r="Q20" s="41">
        <f>P20</f>
        <v>0</v>
      </c>
      <c r="R20" s="125"/>
      <c r="S20" s="66"/>
      <c r="T20" s="21"/>
      <c r="U20" s="148"/>
      <c r="V20" s="150">
        <f t="shared" si="6"/>
        <v>0</v>
      </c>
    </row>
    <row r="21" spans="1:22" ht="29.25" customHeight="1">
      <c r="A21" s="16" t="s">
        <v>21</v>
      </c>
      <c r="B21" s="99">
        <f>B22+B23+B24+B25+B26</f>
        <v>61453016</v>
      </c>
      <c r="C21" s="50">
        <f t="shared" si="0"/>
        <v>67693966.5</v>
      </c>
      <c r="D21" s="56">
        <f>D22+D23+D24+D25+D26</f>
        <v>57065594.920000002</v>
      </c>
      <c r="E21" s="36">
        <f>E22+E23+E24+E25+E26</f>
        <v>80284333.449999988</v>
      </c>
      <c r="F21" s="13">
        <f t="shared" si="1"/>
        <v>130.64343896481824</v>
      </c>
      <c r="G21" s="13">
        <f t="shared" si="2"/>
        <v>118.59894995220878</v>
      </c>
      <c r="H21" s="13">
        <f t="shared" si="3"/>
        <v>12590366.949999988</v>
      </c>
      <c r="I21" s="110">
        <f>I22+I23+I24+I25+I26</f>
        <v>29227362</v>
      </c>
      <c r="J21" s="118">
        <f>J22+J23+J24+J25+J26</f>
        <v>29227362</v>
      </c>
      <c r="K21" s="86">
        <f>K22+K23+K24+K25+K26</f>
        <v>29116731</v>
      </c>
      <c r="L21" s="67">
        <f>L22+L23+L24+L25+L26</f>
        <v>38614000.980000004</v>
      </c>
      <c r="M21" s="21">
        <f t="shared" si="12"/>
        <v>132.11592951837392</v>
      </c>
      <c r="N21" s="25">
        <f t="shared" si="13"/>
        <v>132.11592951837392</v>
      </c>
      <c r="O21" s="152">
        <f t="shared" si="4"/>
        <v>9386638.9800000042</v>
      </c>
      <c r="P21" s="105">
        <f>P22+P23+P24+P25+P26</f>
        <v>32225654</v>
      </c>
      <c r="Q21" s="133">
        <f>Q22+Q23+Q25+Q24</f>
        <v>38466604.5</v>
      </c>
      <c r="R21" s="135">
        <f>R22+R23+R25+R24</f>
        <v>27948863.920000002</v>
      </c>
      <c r="S21" s="134">
        <f>S22+S23+S25+S24</f>
        <v>41670332.469999999</v>
      </c>
      <c r="T21" s="21">
        <f t="shared" si="14"/>
        <v>129.30794971608643</v>
      </c>
      <c r="U21" s="148">
        <f t="shared" si="5"/>
        <v>108.3285957043596</v>
      </c>
      <c r="V21" s="153">
        <f t="shared" si="6"/>
        <v>3203727.9699999988</v>
      </c>
    </row>
    <row r="22" spans="1:22" ht="16.5">
      <c r="A22" s="15" t="s">
        <v>12</v>
      </c>
      <c r="B22" s="98">
        <f t="shared" ref="B22:B28" si="15">I22+P22</f>
        <v>57190337</v>
      </c>
      <c r="C22" s="50">
        <f t="shared" si="0"/>
        <v>63455571.43</v>
      </c>
      <c r="D22" s="54">
        <f t="shared" ref="D22:E28" si="16">K22+R22</f>
        <v>54118065.920000002</v>
      </c>
      <c r="E22" s="35">
        <f t="shared" si="16"/>
        <v>76240264.829999998</v>
      </c>
      <c r="F22" s="13">
        <f t="shared" si="1"/>
        <v>133.3096967587374</v>
      </c>
      <c r="G22" s="13">
        <f t="shared" si="2"/>
        <v>120.14747186400052</v>
      </c>
      <c r="H22" s="13">
        <f t="shared" si="3"/>
        <v>12784693.399999999</v>
      </c>
      <c r="I22" s="109">
        <f>28670231+72127</f>
        <v>28742358</v>
      </c>
      <c r="J22" s="117">
        <f>28670231+72127</f>
        <v>28742358</v>
      </c>
      <c r="K22" s="84">
        <f>28670231+55000</f>
        <v>28725231</v>
      </c>
      <c r="L22" s="66">
        <f>38026694.42+169414.32</f>
        <v>38196108.740000002</v>
      </c>
      <c r="M22" s="21">
        <f t="shared" si="12"/>
        <v>132.8913540774908</v>
      </c>
      <c r="N22" s="25">
        <f t="shared" si="13"/>
        <v>132.8913540774908</v>
      </c>
      <c r="O22" s="21">
        <f t="shared" si="4"/>
        <v>9453750.7400000021</v>
      </c>
      <c r="P22" s="104">
        <f>28431018+16961</f>
        <v>28447979</v>
      </c>
      <c r="Q22" s="42">
        <f>34696249.43+16964</f>
        <v>34713213.43</v>
      </c>
      <c r="R22" s="125">
        <f>25380834.92+12000</f>
        <v>25392834.920000002</v>
      </c>
      <c r="S22" s="66">
        <f>38026706.91+17449.18</f>
        <v>38044156.089999996</v>
      </c>
      <c r="T22" s="21">
        <f t="shared" si="14"/>
        <v>133.73236843995139</v>
      </c>
      <c r="U22" s="148">
        <f t="shared" si="5"/>
        <v>109.59560447123953</v>
      </c>
      <c r="V22" s="150">
        <f t="shared" si="6"/>
        <v>3330942.6599999964</v>
      </c>
    </row>
    <row r="23" spans="1:22" ht="30" customHeight="1">
      <c r="A23" s="17" t="s">
        <v>25</v>
      </c>
      <c r="B23" s="100">
        <f t="shared" si="15"/>
        <v>3730379</v>
      </c>
      <c r="C23" s="50">
        <f t="shared" si="0"/>
        <v>3725000.07</v>
      </c>
      <c r="D23" s="58">
        <f t="shared" si="16"/>
        <v>2583943</v>
      </c>
      <c r="E23" s="37">
        <f t="shared" si="16"/>
        <v>3856915.41</v>
      </c>
      <c r="F23" s="13">
        <f t="shared" si="1"/>
        <v>103.39205238931486</v>
      </c>
      <c r="G23" s="13">
        <f t="shared" si="2"/>
        <v>103.54135134284709</v>
      </c>
      <c r="H23" s="13">
        <f t="shared" si="3"/>
        <v>131915.34000000032</v>
      </c>
      <c r="I23" s="111">
        <v>475004</v>
      </c>
      <c r="J23" s="119">
        <v>475004</v>
      </c>
      <c r="K23" s="87">
        <v>381500</v>
      </c>
      <c r="L23" s="92">
        <v>417892.24</v>
      </c>
      <c r="M23" s="21">
        <f t="shared" si="12"/>
        <v>87.976572828860384</v>
      </c>
      <c r="N23" s="25">
        <f t="shared" si="13"/>
        <v>87.976572828860384</v>
      </c>
      <c r="O23" s="21">
        <f t="shared" si="4"/>
        <v>-57111.760000000009</v>
      </c>
      <c r="P23" s="106">
        <v>3255375</v>
      </c>
      <c r="Q23" s="42">
        <v>3249996.07</v>
      </c>
      <c r="R23" s="128">
        <v>2202443</v>
      </c>
      <c r="S23" s="92">
        <v>3439023.17</v>
      </c>
      <c r="T23" s="21">
        <f t="shared" si="14"/>
        <v>105.64138294359329</v>
      </c>
      <c r="U23" s="148">
        <f t="shared" si="5"/>
        <v>105.81622549469729</v>
      </c>
      <c r="V23" s="150">
        <f t="shared" si="6"/>
        <v>189027.10000000009</v>
      </c>
    </row>
    <row r="24" spans="1:22" ht="17.25" customHeight="1">
      <c r="A24" s="18" t="s">
        <v>26</v>
      </c>
      <c r="B24" s="98">
        <f t="shared" si="15"/>
        <v>10000</v>
      </c>
      <c r="C24" s="50">
        <f t="shared" si="0"/>
        <v>10000</v>
      </c>
      <c r="D24" s="54">
        <f t="shared" si="16"/>
        <v>10000</v>
      </c>
      <c r="E24" s="35">
        <f t="shared" si="16"/>
        <v>38810</v>
      </c>
      <c r="F24" s="13">
        <f t="shared" si="1"/>
        <v>388.09999999999997</v>
      </c>
      <c r="G24" s="13">
        <f t="shared" si="2"/>
        <v>388.09999999999997</v>
      </c>
      <c r="H24" s="13">
        <f t="shared" si="3"/>
        <v>28810</v>
      </c>
      <c r="I24" s="109">
        <v>10000</v>
      </c>
      <c r="J24" s="117">
        <v>10000</v>
      </c>
      <c r="K24" s="84">
        <v>10000</v>
      </c>
      <c r="L24" s="66">
        <v>0</v>
      </c>
      <c r="M24" s="21">
        <f t="shared" si="12"/>
        <v>0</v>
      </c>
      <c r="N24" s="25">
        <f t="shared" si="13"/>
        <v>0</v>
      </c>
      <c r="O24" s="21">
        <f t="shared" si="4"/>
        <v>-10000</v>
      </c>
      <c r="P24" s="104"/>
      <c r="Q24" s="41">
        <f>P24</f>
        <v>0</v>
      </c>
      <c r="R24" s="125"/>
      <c r="S24" s="66">
        <v>38810</v>
      </c>
      <c r="T24" s="21"/>
      <c r="U24" s="148"/>
      <c r="V24" s="150">
        <f t="shared" si="6"/>
        <v>38810</v>
      </c>
    </row>
    <row r="25" spans="1:22" ht="31.5" customHeight="1">
      <c r="A25" s="17" t="s">
        <v>24</v>
      </c>
      <c r="B25" s="100">
        <f t="shared" si="15"/>
        <v>522300</v>
      </c>
      <c r="C25" s="50">
        <f t="shared" si="0"/>
        <v>503395</v>
      </c>
      <c r="D25" s="58">
        <f t="shared" si="16"/>
        <v>353586</v>
      </c>
      <c r="E25" s="37">
        <f t="shared" si="16"/>
        <v>148343.21</v>
      </c>
      <c r="F25" s="13">
        <f t="shared" si="1"/>
        <v>28.40191652307103</v>
      </c>
      <c r="G25" s="13">
        <f t="shared" si="2"/>
        <v>29.468550541821031</v>
      </c>
      <c r="H25" s="13">
        <f t="shared" si="3"/>
        <v>-355051.79000000004</v>
      </c>
      <c r="I25" s="111">
        <v>0</v>
      </c>
      <c r="J25" s="119">
        <v>0</v>
      </c>
      <c r="K25" s="87">
        <v>0</v>
      </c>
      <c r="L25" s="68">
        <v>0</v>
      </c>
      <c r="M25" s="21"/>
      <c r="N25" s="25"/>
      <c r="O25" s="21">
        <f t="shared" si="4"/>
        <v>0</v>
      </c>
      <c r="P25" s="106">
        <v>522300</v>
      </c>
      <c r="Q25" s="41">
        <v>503395</v>
      </c>
      <c r="R25" s="128">
        <v>353586</v>
      </c>
      <c r="S25" s="92">
        <v>148343.21</v>
      </c>
      <c r="T25" s="21">
        <f t="shared" si="14"/>
        <v>28.40191652307103</v>
      </c>
      <c r="U25" s="148">
        <f t="shared" si="5"/>
        <v>29.468550541821031</v>
      </c>
      <c r="V25" s="150">
        <f t="shared" si="6"/>
        <v>-355051.79000000004</v>
      </c>
    </row>
    <row r="26" spans="1:22" ht="16.5" hidden="1">
      <c r="A26" s="18" t="s">
        <v>27</v>
      </c>
      <c r="B26" s="98">
        <f t="shared" si="15"/>
        <v>0</v>
      </c>
      <c r="C26" s="50">
        <f t="shared" si="0"/>
        <v>0</v>
      </c>
      <c r="D26" s="54">
        <f t="shared" si="16"/>
        <v>0</v>
      </c>
      <c r="E26" s="35">
        <f t="shared" si="16"/>
        <v>0</v>
      </c>
      <c r="F26" s="13" t="e">
        <f t="shared" si="1"/>
        <v>#DIV/0!</v>
      </c>
      <c r="G26" s="13" t="e">
        <f t="shared" si="2"/>
        <v>#DIV/0!</v>
      </c>
      <c r="H26" s="13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21" t="e">
        <f t="shared" si="12"/>
        <v>#DIV/0!</v>
      </c>
      <c r="N26" s="25" t="e">
        <f t="shared" si="13"/>
        <v>#DIV/0!</v>
      </c>
      <c r="O26" s="21">
        <f t="shared" si="4"/>
        <v>0</v>
      </c>
      <c r="P26" s="104">
        <v>0</v>
      </c>
      <c r="Q26" s="41">
        <f>P26</f>
        <v>0</v>
      </c>
      <c r="R26" s="125"/>
      <c r="S26" s="66"/>
      <c r="T26" s="21" t="e">
        <f t="shared" si="14"/>
        <v>#DIV/0!</v>
      </c>
      <c r="U26" s="148" t="e">
        <f t="shared" si="5"/>
        <v>#DIV/0!</v>
      </c>
      <c r="V26" s="150">
        <f t="shared" si="6"/>
        <v>0</v>
      </c>
    </row>
    <row r="27" spans="1:22" ht="18.75" customHeight="1">
      <c r="A27" s="16" t="s">
        <v>22</v>
      </c>
      <c r="B27" s="101">
        <f t="shared" si="15"/>
        <v>2387600</v>
      </c>
      <c r="C27" s="50">
        <f t="shared" si="0"/>
        <v>14677995.880000001</v>
      </c>
      <c r="D27" s="60">
        <f t="shared" si="16"/>
        <v>11005752.83</v>
      </c>
      <c r="E27" s="38">
        <f t="shared" si="16"/>
        <v>15725725.439999999</v>
      </c>
      <c r="F27" s="13">
        <f t="shared" si="1"/>
        <v>658.64154129669964</v>
      </c>
      <c r="G27" s="13">
        <f t="shared" si="2"/>
        <v>107.13809683941673</v>
      </c>
      <c r="H27" s="13">
        <f t="shared" si="3"/>
        <v>1047729.5599999987</v>
      </c>
      <c r="I27" s="112">
        <v>2387600</v>
      </c>
      <c r="J27" s="138">
        <v>14677995.880000001</v>
      </c>
      <c r="K27" s="93">
        <v>11005752.83</v>
      </c>
      <c r="L27" s="81">
        <v>15725725.439999999</v>
      </c>
      <c r="M27" s="21">
        <f t="shared" si="12"/>
        <v>658.64154129669964</v>
      </c>
      <c r="N27" s="25">
        <f t="shared" si="13"/>
        <v>107.13809683941673</v>
      </c>
      <c r="O27" s="21">
        <f t="shared" si="4"/>
        <v>1047729.5599999987</v>
      </c>
      <c r="P27" s="107">
        <v>0</v>
      </c>
      <c r="Q27" s="41">
        <f>P27</f>
        <v>0</v>
      </c>
      <c r="R27" s="129"/>
      <c r="S27" s="68"/>
      <c r="T27" s="21"/>
      <c r="U27" s="148"/>
      <c r="V27" s="150">
        <f t="shared" si="6"/>
        <v>0</v>
      </c>
    </row>
    <row r="28" spans="1:22" ht="16.5">
      <c r="A28" s="14" t="s">
        <v>13</v>
      </c>
      <c r="B28" s="97">
        <f t="shared" si="15"/>
        <v>137500</v>
      </c>
      <c r="C28" s="50">
        <f t="shared" si="0"/>
        <v>826438.02</v>
      </c>
      <c r="D28" s="47">
        <f t="shared" si="16"/>
        <v>764585.02</v>
      </c>
      <c r="E28" s="34">
        <f t="shared" si="16"/>
        <v>1417878.74</v>
      </c>
      <c r="F28" s="13">
        <f t="shared" si="1"/>
        <v>1031.1845381818182</v>
      </c>
      <c r="G28" s="13">
        <f t="shared" si="2"/>
        <v>171.56504246985151</v>
      </c>
      <c r="H28" s="13">
        <f t="shared" si="3"/>
        <v>591440.72</v>
      </c>
      <c r="I28" s="103">
        <v>137500</v>
      </c>
      <c r="J28" s="120">
        <f>549829.5+137500</f>
        <v>687329.5</v>
      </c>
      <c r="K28" s="76">
        <f>549829.5+117013</f>
        <v>666842.5</v>
      </c>
      <c r="L28" s="81">
        <v>1167260.04</v>
      </c>
      <c r="M28" s="21">
        <f t="shared" si="12"/>
        <v>848.91639272727275</v>
      </c>
      <c r="N28" s="25">
        <f t="shared" si="13"/>
        <v>169.82539524347493</v>
      </c>
      <c r="O28" s="21">
        <f t="shared" si="4"/>
        <v>479930.54000000004</v>
      </c>
      <c r="P28" s="103">
        <v>0</v>
      </c>
      <c r="Q28" s="41">
        <v>139108.51999999999</v>
      </c>
      <c r="R28" s="96">
        <v>97742.52</v>
      </c>
      <c r="S28" s="81">
        <v>250618.7</v>
      </c>
      <c r="T28" s="21"/>
      <c r="U28" s="148">
        <f t="shared" si="5"/>
        <v>180.16056816649336</v>
      </c>
      <c r="V28" s="150">
        <f t="shared" si="6"/>
        <v>111510.18000000002</v>
      </c>
    </row>
    <row r="29" spans="1:22" ht="26.25" customHeight="1">
      <c r="A29" s="16" t="s">
        <v>23</v>
      </c>
      <c r="B29" s="101">
        <f>B30+B31</f>
        <v>5337494</v>
      </c>
      <c r="C29" s="50">
        <f t="shared" si="0"/>
        <v>20210271.949999999</v>
      </c>
      <c r="D29" s="60">
        <f>D30+D31</f>
        <v>9916896.0999999996</v>
      </c>
      <c r="E29" s="38">
        <f>E30+E31</f>
        <v>27231801.939999998</v>
      </c>
      <c r="F29" s="13">
        <f t="shared" si="1"/>
        <v>510.19826795121446</v>
      </c>
      <c r="G29" s="13">
        <f t="shared" si="2"/>
        <v>134.74238252395213</v>
      </c>
      <c r="H29" s="13">
        <f t="shared" si="3"/>
        <v>7021529.9899999984</v>
      </c>
      <c r="I29" s="113">
        <f>I30+I31</f>
        <v>2594100</v>
      </c>
      <c r="J29" s="121">
        <f>J30+J31</f>
        <v>8834935</v>
      </c>
      <c r="K29" s="88">
        <f>K30+K31</f>
        <v>2594100</v>
      </c>
      <c r="L29" s="69">
        <f>L30+L31</f>
        <v>12903620.66</v>
      </c>
      <c r="M29" s="21">
        <f t="shared" si="12"/>
        <v>497.42186731429013</v>
      </c>
      <c r="N29" s="25">
        <f t="shared" si="13"/>
        <v>146.05224215005543</v>
      </c>
      <c r="O29" s="152">
        <f t="shared" si="4"/>
        <v>4068685.66</v>
      </c>
      <c r="P29" s="107">
        <f>P30+P31</f>
        <v>2743394</v>
      </c>
      <c r="Q29" s="41">
        <f>Q30+Q31</f>
        <v>11375336.949999999</v>
      </c>
      <c r="R29" s="130">
        <f>R30+R31</f>
        <v>7322796.0999999996</v>
      </c>
      <c r="S29" s="69">
        <f>S30+S31</f>
        <v>14328181.280000001</v>
      </c>
      <c r="T29" s="21">
        <f t="shared" si="14"/>
        <v>522.27938385809705</v>
      </c>
      <c r="U29" s="148">
        <f t="shared" si="5"/>
        <v>125.95830209671286</v>
      </c>
      <c r="V29" s="153">
        <f t="shared" si="6"/>
        <v>2952844.3300000019</v>
      </c>
    </row>
    <row r="30" spans="1:22" ht="16.5">
      <c r="A30" s="15" t="s">
        <v>14</v>
      </c>
      <c r="B30" s="98">
        <f>I30+P30</f>
        <v>381294</v>
      </c>
      <c r="C30" s="50">
        <f t="shared" si="0"/>
        <v>4987049.51</v>
      </c>
      <c r="D30" s="54">
        <f t="shared" ref="D30:E32" si="17">K30+R30</f>
        <v>1506694</v>
      </c>
      <c r="E30" s="35">
        <f t="shared" si="17"/>
        <v>8692634.2599999998</v>
      </c>
      <c r="F30" s="13">
        <f t="shared" si="1"/>
        <v>2279.7721076124981</v>
      </c>
      <c r="G30" s="13">
        <f t="shared" si="2"/>
        <v>174.30415003038539</v>
      </c>
      <c r="H30" s="13">
        <f t="shared" si="3"/>
        <v>3705584.75</v>
      </c>
      <c r="I30" s="109">
        <v>150000</v>
      </c>
      <c r="J30" s="117">
        <v>2690835</v>
      </c>
      <c r="K30" s="84">
        <v>150000</v>
      </c>
      <c r="L30" s="91">
        <v>4773372.8899999997</v>
      </c>
      <c r="M30" s="21">
        <f t="shared" si="12"/>
        <v>3182.2485933333332</v>
      </c>
      <c r="N30" s="25">
        <f t="shared" si="13"/>
        <v>177.39374171957775</v>
      </c>
      <c r="O30" s="21">
        <f t="shared" si="4"/>
        <v>2082537.8899999997</v>
      </c>
      <c r="P30" s="104">
        <v>231294</v>
      </c>
      <c r="Q30" s="42">
        <v>2296214.5099999998</v>
      </c>
      <c r="R30" s="126">
        <v>1356694</v>
      </c>
      <c r="S30" s="91">
        <v>3919261.37</v>
      </c>
      <c r="T30" s="21">
        <f t="shared" si="14"/>
        <v>1694.4933158663864</v>
      </c>
      <c r="U30" s="148">
        <f t="shared" si="5"/>
        <v>170.6835904455634</v>
      </c>
      <c r="V30" s="150">
        <f t="shared" si="6"/>
        <v>1623046.8600000003</v>
      </c>
    </row>
    <row r="31" spans="1:22" ht="16.5">
      <c r="A31" s="15" t="s">
        <v>15</v>
      </c>
      <c r="B31" s="98">
        <f>I31+P31</f>
        <v>4956200</v>
      </c>
      <c r="C31" s="50">
        <f t="shared" si="0"/>
        <v>15223222.439999999</v>
      </c>
      <c r="D31" s="54">
        <f t="shared" si="17"/>
        <v>8410202.0999999996</v>
      </c>
      <c r="E31" s="35">
        <f t="shared" si="17"/>
        <v>18539167.68</v>
      </c>
      <c r="F31" s="13">
        <f t="shared" si="1"/>
        <v>374.06012025341994</v>
      </c>
      <c r="G31" s="13">
        <f t="shared" si="2"/>
        <v>121.78215061278446</v>
      </c>
      <c r="H31" s="13">
        <f t="shared" si="3"/>
        <v>3315945.24</v>
      </c>
      <c r="I31" s="109">
        <v>2444100</v>
      </c>
      <c r="J31" s="117">
        <v>6144100</v>
      </c>
      <c r="K31" s="84">
        <v>2444100</v>
      </c>
      <c r="L31" s="91">
        <v>8130247.7699999996</v>
      </c>
      <c r="M31" s="21">
        <f t="shared" si="12"/>
        <v>332.64791825211734</v>
      </c>
      <c r="N31" s="25">
        <f t="shared" si="13"/>
        <v>132.32609771976368</v>
      </c>
      <c r="O31" s="21">
        <f t="shared" si="4"/>
        <v>1986147.7699999996</v>
      </c>
      <c r="P31" s="104">
        <v>2512100</v>
      </c>
      <c r="Q31" s="42">
        <v>9079122.4399999995</v>
      </c>
      <c r="R31" s="136">
        <v>5966102.0999999996</v>
      </c>
      <c r="S31" s="91">
        <v>10408919.91</v>
      </c>
      <c r="T31" s="21">
        <f t="shared" si="14"/>
        <v>414.35133593407903</v>
      </c>
      <c r="U31" s="148">
        <f t="shared" si="5"/>
        <v>114.64676215997811</v>
      </c>
      <c r="V31" s="150">
        <f t="shared" si="6"/>
        <v>1329797.4700000007</v>
      </c>
    </row>
    <row r="32" spans="1:22" ht="16.5">
      <c r="A32" s="14" t="s">
        <v>16</v>
      </c>
      <c r="B32" s="97">
        <f>I32+P32</f>
        <v>315620</v>
      </c>
      <c r="C32" s="50">
        <f t="shared" si="0"/>
        <v>328622.36</v>
      </c>
      <c r="D32" s="47">
        <f t="shared" si="17"/>
        <v>228780.41</v>
      </c>
      <c r="E32" s="34">
        <f t="shared" si="17"/>
        <v>970771.08000000007</v>
      </c>
      <c r="F32" s="13">
        <f t="shared" si="1"/>
        <v>307.57590773715231</v>
      </c>
      <c r="G32" s="13">
        <f t="shared" si="2"/>
        <v>295.40627728435766</v>
      </c>
      <c r="H32" s="13">
        <f t="shared" si="3"/>
        <v>642148.72000000009</v>
      </c>
      <c r="I32" s="30">
        <v>315620</v>
      </c>
      <c r="J32" s="116">
        <v>315620</v>
      </c>
      <c r="K32" s="82">
        <v>227958</v>
      </c>
      <c r="L32" s="81">
        <v>954747.68</v>
      </c>
      <c r="M32" s="21">
        <f t="shared" si="12"/>
        <v>302.49910652049937</v>
      </c>
      <c r="N32" s="25">
        <f t="shared" si="13"/>
        <v>302.49910652049937</v>
      </c>
      <c r="O32" s="21">
        <f t="shared" si="4"/>
        <v>639127.68000000005</v>
      </c>
      <c r="P32" s="103">
        <v>0</v>
      </c>
      <c r="Q32" s="41">
        <v>13002.36</v>
      </c>
      <c r="R32" s="96">
        <v>822.41</v>
      </c>
      <c r="S32" s="81">
        <v>16023.4</v>
      </c>
      <c r="T32" s="21"/>
      <c r="U32" s="148">
        <f t="shared" si="5"/>
        <v>123.23455126607786</v>
      </c>
      <c r="V32" s="150">
        <f t="shared" si="6"/>
        <v>3021.0399999999991</v>
      </c>
    </row>
    <row r="33" spans="1:22" ht="16.5">
      <c r="A33" s="14" t="s">
        <v>17</v>
      </c>
      <c r="B33" s="97">
        <f>B34+B35+B36</f>
        <v>0</v>
      </c>
      <c r="C33" s="50">
        <f t="shared" si="0"/>
        <v>2534488.87</v>
      </c>
      <c r="D33" s="47">
        <f>D34+D35+D36</f>
        <v>1310039.8400000001</v>
      </c>
      <c r="E33" s="34">
        <f>E34+E35+E36</f>
        <v>2580739.71</v>
      </c>
      <c r="F33" s="13"/>
      <c r="G33" s="13">
        <f t="shared" si="2"/>
        <v>101.82485867456185</v>
      </c>
      <c r="H33" s="13">
        <f t="shared" si="3"/>
        <v>46250.839999999851</v>
      </c>
      <c r="I33" s="30">
        <v>0</v>
      </c>
      <c r="J33" s="116">
        <v>0</v>
      </c>
      <c r="K33" s="82">
        <f>K34+K35+K36</f>
        <v>0</v>
      </c>
      <c r="L33" s="32">
        <f>L34+L35+L36</f>
        <v>34333.549999999996</v>
      </c>
      <c r="M33" s="21"/>
      <c r="N33" s="25"/>
      <c r="O33" s="21">
        <f t="shared" si="4"/>
        <v>34333.549999999996</v>
      </c>
      <c r="P33" s="103">
        <v>0</v>
      </c>
      <c r="Q33" s="41">
        <f>Q34+Q35+Q36</f>
        <v>2534488.87</v>
      </c>
      <c r="R33" s="124">
        <f>R34+R35+R36</f>
        <v>1310039.8400000001</v>
      </c>
      <c r="S33" s="32">
        <f>S34+S35+S36</f>
        <v>2546406.16</v>
      </c>
      <c r="T33" s="21"/>
      <c r="U33" s="148">
        <f t="shared" si="5"/>
        <v>100.47020486619853</v>
      </c>
      <c r="V33" s="150">
        <f t="shared" si="6"/>
        <v>11917.290000000037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8">K34++R34</f>
        <v>0</v>
      </c>
      <c r="E34" s="35">
        <f t="shared" si="18"/>
        <v>-2242.7200000000003</v>
      </c>
      <c r="F34" s="13"/>
      <c r="G34" s="13"/>
      <c r="H34" s="13">
        <f t="shared" si="3"/>
        <v>-2242.7200000000003</v>
      </c>
      <c r="I34" s="109"/>
      <c r="J34" s="117"/>
      <c r="K34" s="84"/>
      <c r="L34" s="66">
        <v>1545.28</v>
      </c>
      <c r="M34" s="21"/>
      <c r="N34" s="25"/>
      <c r="O34" s="21">
        <f t="shared" si="4"/>
        <v>1545.28</v>
      </c>
      <c r="P34" s="104">
        <v>0</v>
      </c>
      <c r="Q34" s="41">
        <f>P34</f>
        <v>0</v>
      </c>
      <c r="R34" s="125">
        <v>0</v>
      </c>
      <c r="S34" s="81">
        <v>-3788</v>
      </c>
      <c r="T34" s="21"/>
      <c r="U34" s="148"/>
      <c r="V34" s="150">
        <f t="shared" si="6"/>
        <v>-3788</v>
      </c>
    </row>
    <row r="35" spans="1:22" ht="16.5">
      <c r="A35" s="15" t="s">
        <v>19</v>
      </c>
      <c r="B35" s="98">
        <f>I35+P35</f>
        <v>0</v>
      </c>
      <c r="C35" s="50">
        <f t="shared" si="0"/>
        <v>2523688.87</v>
      </c>
      <c r="D35" s="54">
        <f t="shared" si="18"/>
        <v>1300439.8400000001</v>
      </c>
      <c r="E35" s="35">
        <f t="shared" si="18"/>
        <v>2572182.4300000002</v>
      </c>
      <c r="F35" s="13"/>
      <c r="G35" s="13">
        <f t="shared" si="2"/>
        <v>101.92153480472416</v>
      </c>
      <c r="H35" s="13">
        <f t="shared" si="3"/>
        <v>48493.560000000056</v>
      </c>
      <c r="I35" s="109">
        <v>0</v>
      </c>
      <c r="J35" s="117">
        <v>0</v>
      </c>
      <c r="K35" s="84">
        <v>0</v>
      </c>
      <c r="L35" s="81">
        <v>32788.269999999997</v>
      </c>
      <c r="M35" s="21"/>
      <c r="N35" s="25"/>
      <c r="O35" s="21">
        <f t="shared" si="4"/>
        <v>32788.269999999997</v>
      </c>
      <c r="P35" s="104">
        <v>0</v>
      </c>
      <c r="Q35" s="41">
        <v>2523688.87</v>
      </c>
      <c r="R35" s="96">
        <v>1300439.8400000001</v>
      </c>
      <c r="S35" s="81">
        <v>2539394.16</v>
      </c>
      <c r="T35" s="21"/>
      <c r="U35" s="148">
        <f t="shared" si="5"/>
        <v>100.62231482599518</v>
      </c>
      <c r="V35" s="150">
        <f t="shared" si="6"/>
        <v>15705.290000000037</v>
      </c>
    </row>
    <row r="36" spans="1:22" ht="16.5">
      <c r="A36" s="15" t="s">
        <v>38</v>
      </c>
      <c r="B36" s="98">
        <f>I36+P36</f>
        <v>0</v>
      </c>
      <c r="C36" s="50">
        <f t="shared" si="0"/>
        <v>10800</v>
      </c>
      <c r="D36" s="54">
        <f t="shared" si="18"/>
        <v>9600</v>
      </c>
      <c r="E36" s="35">
        <f t="shared" si="18"/>
        <v>10800</v>
      </c>
      <c r="F36" s="13"/>
      <c r="G36" s="13">
        <f t="shared" si="2"/>
        <v>100</v>
      </c>
      <c r="H36" s="13">
        <f t="shared" si="3"/>
        <v>0</v>
      </c>
      <c r="I36" s="109"/>
      <c r="J36" s="117"/>
      <c r="K36" s="84"/>
      <c r="L36" s="66"/>
      <c r="M36" s="21"/>
      <c r="N36" s="25"/>
      <c r="O36" s="21">
        <f t="shared" si="4"/>
        <v>0</v>
      </c>
      <c r="P36" s="104">
        <v>0</v>
      </c>
      <c r="Q36" s="41">
        <v>10800</v>
      </c>
      <c r="R36" s="96">
        <v>9600</v>
      </c>
      <c r="S36" s="81">
        <v>10800</v>
      </c>
      <c r="T36" s="21"/>
      <c r="U36" s="148">
        <f t="shared" si="5"/>
        <v>100</v>
      </c>
      <c r="V36" s="150">
        <f t="shared" si="6"/>
        <v>0</v>
      </c>
    </row>
    <row r="37" spans="1:22" ht="21.75" customHeight="1" thickBot="1">
      <c r="A37" s="20" t="s">
        <v>20</v>
      </c>
      <c r="B37" s="62">
        <f>I37+P37</f>
        <v>248041311</v>
      </c>
      <c r="C37" s="50">
        <f t="shared" si="0"/>
        <v>291817786.49000001</v>
      </c>
      <c r="D37" s="62">
        <f>K37+R37</f>
        <v>202312714.87</v>
      </c>
      <c r="E37" s="39">
        <f>L37+S37</f>
        <v>312525085.19</v>
      </c>
      <c r="F37" s="13">
        <f t="shared" si="1"/>
        <v>125.99719132673025</v>
      </c>
      <c r="G37" s="13">
        <f t="shared" si="2"/>
        <v>107.09596866903436</v>
      </c>
      <c r="H37" s="13">
        <f t="shared" si="3"/>
        <v>20707298.699999988</v>
      </c>
      <c r="I37" s="108">
        <f t="shared" ref="I37:S37" si="19">I5</f>
        <v>132541704</v>
      </c>
      <c r="J37" s="122">
        <f t="shared" si="19"/>
        <v>151622764.38</v>
      </c>
      <c r="K37" s="80">
        <f t="shared" si="19"/>
        <v>110436376.33</v>
      </c>
      <c r="L37" s="70">
        <f t="shared" si="19"/>
        <v>165715291.09999999</v>
      </c>
      <c r="M37" s="21">
        <f t="shared" si="12"/>
        <v>125.02879176806117</v>
      </c>
      <c r="N37" s="25">
        <f t="shared" si="13"/>
        <v>109.29446628784648</v>
      </c>
      <c r="O37" s="21">
        <f t="shared" si="4"/>
        <v>14092526.719999999</v>
      </c>
      <c r="P37" s="108">
        <f t="shared" si="19"/>
        <v>115499607</v>
      </c>
      <c r="Q37" s="122">
        <f t="shared" si="19"/>
        <v>140195022.11000001</v>
      </c>
      <c r="R37" s="131">
        <f t="shared" si="19"/>
        <v>91876338.539999992</v>
      </c>
      <c r="S37" s="70">
        <f t="shared" si="19"/>
        <v>146809794.09</v>
      </c>
      <c r="T37" s="154">
        <f t="shared" si="14"/>
        <v>127.10847933015046</v>
      </c>
      <c r="U37" s="155">
        <f t="shared" si="5"/>
        <v>104.71826451499105</v>
      </c>
      <c r="V37" s="151">
        <f t="shared" si="6"/>
        <v>6614771.9799999893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2:G2"/>
    <mergeCell ref="A3:A4"/>
    <mergeCell ref="B3:G3"/>
    <mergeCell ref="I3:N3"/>
    <mergeCell ref="P3:V3"/>
  </mergeCells>
  <pageMargins left="0.70866141732283472" right="0" top="0.74803149606299213" bottom="0" header="0.31496062992125984" footer="0.31496062992125984"/>
  <pageSetup paperSize="9" scale="67" fitToWidth="2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opLeftCell="A2" zoomScale="84" zoomScaleNormal="84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1:IV65536"/>
    </sheetView>
  </sheetViews>
  <sheetFormatPr defaultRowHeight="12.75"/>
  <cols>
    <col min="1" max="1" width="54.28515625" customWidth="1"/>
    <col min="2" max="3" width="13.5703125" style="1" customWidth="1"/>
    <col min="4" max="4" width="14.7109375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4.42578125" customWidth="1"/>
    <col min="10" max="10" width="13.5703125" customWidth="1"/>
    <col min="11" max="11" width="14.42578125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idden="1"/>
    <row r="2" spans="1:22" ht="20.25" customHeight="1" thickBot="1">
      <c r="A2" s="176" t="s">
        <v>52</v>
      </c>
      <c r="B2" s="176"/>
      <c r="C2" s="176"/>
      <c r="D2" s="176"/>
      <c r="E2" s="176"/>
      <c r="F2" s="176"/>
      <c r="G2" s="176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177" t="s">
        <v>0</v>
      </c>
      <c r="B3" s="171" t="s">
        <v>53</v>
      </c>
      <c r="C3" s="172"/>
      <c r="D3" s="172"/>
      <c r="E3" s="172"/>
      <c r="F3" s="172"/>
      <c r="G3" s="172"/>
      <c r="H3" s="140"/>
      <c r="I3" s="171" t="s">
        <v>31</v>
      </c>
      <c r="J3" s="172"/>
      <c r="K3" s="172"/>
      <c r="L3" s="172"/>
      <c r="M3" s="172"/>
      <c r="N3" s="172"/>
      <c r="O3" s="140"/>
      <c r="P3" s="173" t="s">
        <v>32</v>
      </c>
      <c r="Q3" s="174"/>
      <c r="R3" s="174"/>
      <c r="S3" s="174"/>
      <c r="T3" s="174"/>
      <c r="U3" s="174"/>
      <c r="V3" s="179"/>
    </row>
    <row r="4" spans="1:22" ht="74.25" customHeight="1">
      <c r="A4" s="178"/>
      <c r="B4" s="63" t="s">
        <v>39</v>
      </c>
      <c r="C4" s="8" t="s">
        <v>46</v>
      </c>
      <c r="D4" s="63" t="s">
        <v>33</v>
      </c>
      <c r="E4" s="10" t="s">
        <v>54</v>
      </c>
      <c r="F4" s="9" t="s">
        <v>55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квартала</v>
      </c>
      <c r="L4" s="10" t="str">
        <f>E4</f>
        <v>Факт на 01/04.2015</v>
      </c>
      <c r="M4" s="9" t="str">
        <f>F4</f>
        <v>% исп-я к плану 1 квартала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квартала</v>
      </c>
      <c r="S4" s="145" t="str">
        <f>L4</f>
        <v>Факт на 01/04.2015</v>
      </c>
      <c r="T4" s="146" t="str">
        <f>M4</f>
        <v>% исп-я к плану 1 квартала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262515324.38</v>
      </c>
      <c r="D5" s="51">
        <f>D6+D8+D12+D19+D20+D21+D27+D28+D29+D32+D33+D7</f>
        <v>63811049.589999989</v>
      </c>
      <c r="E5" s="33">
        <f>E6+E8+E12+E19+E20+E21+E27+E28+E29+E32+E33+E7</f>
        <v>67646823.51000002</v>
      </c>
      <c r="F5" s="162">
        <f>E5/D5*100</f>
        <v>106.01114375119313</v>
      </c>
      <c r="G5" s="162">
        <f>E5/C5*100</f>
        <v>25.768714138790198</v>
      </c>
      <c r="H5" s="51">
        <f>E5-D5</f>
        <v>3835773.9200000316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45512598</v>
      </c>
      <c r="L5" s="139">
        <f>L6+L8+L12+L19+L20+L21+L27+L28+L29+L32+L33+L7</f>
        <v>47145459.690000005</v>
      </c>
      <c r="M5" s="156">
        <f>L5/K5*100</f>
        <v>103.5877136479882</v>
      </c>
      <c r="N5" s="21">
        <f>L5/J5*100</f>
        <v>31.964368839333936</v>
      </c>
      <c r="O5" s="157">
        <f>L5-K5</f>
        <v>1632861.6900000051</v>
      </c>
      <c r="P5" s="102">
        <f>P6+P8+P12+P19+P20+P21+P27+P28+P29+P32+P33+P7</f>
        <v>123754900</v>
      </c>
      <c r="Q5" s="115">
        <f>Q6+Q8+Q12+Q19+Q20+Q21+Q27+Q28+Q29+Q32+Q33+Q7</f>
        <v>115021532.38000001</v>
      </c>
      <c r="R5" s="123">
        <f>R6+R8+R12+R19+R20+R21+R27+R28+R29+R32+R33+R7</f>
        <v>18298451.589999996</v>
      </c>
      <c r="S5" s="65">
        <f>S6+S8+S12+S19+S20+S21+S27+S28+S29+S32+S33+S7</f>
        <v>20501363.82</v>
      </c>
      <c r="T5" s="21">
        <f>S5/R5*100</f>
        <v>112.0387903816074</v>
      </c>
      <c r="U5" s="148">
        <f>S5/Q5*100</f>
        <v>17.823935567358852</v>
      </c>
      <c r="V5" s="150">
        <f>S5-R5</f>
        <v>2202912.2300000042</v>
      </c>
    </row>
    <row r="6" spans="1:22" ht="16.5">
      <c r="A6" s="14" t="s">
        <v>28</v>
      </c>
      <c r="B6" s="97">
        <f>I6+P6</f>
        <v>81162643</v>
      </c>
      <c r="C6" s="50">
        <f t="shared" ref="C6:C37" si="0">Q6+J6</f>
        <v>81162643</v>
      </c>
      <c r="D6" s="47">
        <f>K6+R6</f>
        <v>19737158.379999999</v>
      </c>
      <c r="E6" s="34">
        <f>L6+S6</f>
        <v>20223684.830000002</v>
      </c>
      <c r="F6" s="162">
        <f t="shared" ref="F6:F37" si="1">E6/D6*100</f>
        <v>102.46502784561433</v>
      </c>
      <c r="G6" s="162">
        <f t="shared" ref="G6:G37" si="2">E6/C6*100</f>
        <v>24.917479375332814</v>
      </c>
      <c r="H6" s="51">
        <f t="shared" ref="H6:H37" si="3">E6-D6</f>
        <v>486526.45000000298</v>
      </c>
      <c r="I6" s="30">
        <v>59025769</v>
      </c>
      <c r="J6" s="116">
        <v>59025769</v>
      </c>
      <c r="K6" s="76">
        <v>14759602</v>
      </c>
      <c r="L6" s="81">
        <v>14759698.960000001</v>
      </c>
      <c r="M6" s="156">
        <f t="shared" ref="M6:M37" si="4">L6/K6*100</f>
        <v>100.00065692828304</v>
      </c>
      <c r="N6" s="21">
        <f>L6/J6*100</f>
        <v>25.005517437646603</v>
      </c>
      <c r="O6" s="157">
        <f t="shared" ref="O6:O37" si="5">L6-K6</f>
        <v>96.96000000089407</v>
      </c>
      <c r="P6" s="103">
        <v>22136874</v>
      </c>
      <c r="Q6" s="41">
        <v>22136874</v>
      </c>
      <c r="R6" s="96">
        <v>4977556.38</v>
      </c>
      <c r="S6" s="81">
        <v>5463985.8700000001</v>
      </c>
      <c r="T6" s="21">
        <f t="shared" ref="T6:T37" si="6">S6/R6*100</f>
        <v>109.77245565624312</v>
      </c>
      <c r="U6" s="148">
        <f t="shared" ref="U6:U37" si="7">S6/Q6*100</f>
        <v>24.682734653501665</v>
      </c>
      <c r="V6" s="150">
        <f t="shared" ref="V6:V37" si="8">S6-R6</f>
        <v>486429.49000000022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6671124.8300000001</v>
      </c>
      <c r="E7" s="34">
        <f>L7+S7</f>
        <v>7329776.6099999994</v>
      </c>
      <c r="F7" s="162">
        <f t="shared" si="1"/>
        <v>109.87317426647523</v>
      </c>
      <c r="G7" s="162">
        <f t="shared" si="2"/>
        <v>27.349706580569798</v>
      </c>
      <c r="H7" s="51">
        <f t="shared" si="3"/>
        <v>658651.77999999933</v>
      </c>
      <c r="I7" s="30">
        <v>11319566</v>
      </c>
      <c r="J7" s="116">
        <v>11319566</v>
      </c>
      <c r="K7" s="76">
        <v>2829892</v>
      </c>
      <c r="L7" s="81">
        <v>3059882.11</v>
      </c>
      <c r="M7" s="156">
        <f t="shared" si="4"/>
        <v>108.1271691640529</v>
      </c>
      <c r="N7" s="21">
        <f t="shared" ref="N7:N12" si="9">L7/J7*100</f>
        <v>27.031797067131368</v>
      </c>
      <c r="O7" s="157">
        <f t="shared" si="5"/>
        <v>229990.10999999987</v>
      </c>
      <c r="P7" s="103">
        <v>15480636</v>
      </c>
      <c r="Q7" s="41">
        <v>15480636</v>
      </c>
      <c r="R7" s="96">
        <v>3841232.83</v>
      </c>
      <c r="S7" s="81">
        <v>4269894.5</v>
      </c>
      <c r="T7" s="21">
        <f t="shared" si="6"/>
        <v>111.15948157716855</v>
      </c>
      <c r="U7" s="148">
        <f t="shared" si="7"/>
        <v>27.582164582902152</v>
      </c>
      <c r="V7" s="150">
        <f t="shared" si="8"/>
        <v>428661.66999999993</v>
      </c>
    </row>
    <row r="8" spans="1:22" ht="16.5">
      <c r="A8" s="14" t="s">
        <v>2</v>
      </c>
      <c r="B8" s="97">
        <f>B9+B11+B10</f>
        <v>11152910</v>
      </c>
      <c r="C8" s="50">
        <f t="shared" si="0"/>
        <v>11152910</v>
      </c>
      <c r="D8" s="47">
        <f>D9+D11+D10</f>
        <v>3002495</v>
      </c>
      <c r="E8" s="34">
        <f>E9+E11+E10</f>
        <v>3935914.4299999997</v>
      </c>
      <c r="F8" s="162">
        <f t="shared" si="1"/>
        <v>131.08812604184186</v>
      </c>
      <c r="G8" s="162">
        <f t="shared" si="2"/>
        <v>35.290470648467526</v>
      </c>
      <c r="H8" s="51">
        <f t="shared" si="3"/>
        <v>933419.4299999997</v>
      </c>
      <c r="I8" s="30">
        <f>I9+I11+I10</f>
        <v>9781284</v>
      </c>
      <c r="J8" s="116">
        <f>J9+J11+J10</f>
        <v>9781284</v>
      </c>
      <c r="K8" s="103">
        <f>K9+K11+K10</f>
        <v>2154450</v>
      </c>
      <c r="L8" s="32">
        <f>L9+L10</f>
        <v>2380898.2399999998</v>
      </c>
      <c r="M8" s="156">
        <f t="shared" si="4"/>
        <v>110.5107215298568</v>
      </c>
      <c r="N8" s="21">
        <f t="shared" si="9"/>
        <v>24.341367043427013</v>
      </c>
      <c r="O8" s="157">
        <f t="shared" si="5"/>
        <v>226448.23999999976</v>
      </c>
      <c r="P8" s="103">
        <f>P9+P11</f>
        <v>1371626</v>
      </c>
      <c r="Q8" s="41">
        <f>Q9+Q10+Q11</f>
        <v>1371626</v>
      </c>
      <c r="R8" s="124">
        <f>R9+R11</f>
        <v>848045</v>
      </c>
      <c r="S8" s="32">
        <f>S9+S11</f>
        <v>1555016.19</v>
      </c>
      <c r="T8" s="21">
        <f t="shared" si="6"/>
        <v>183.36482026307564</v>
      </c>
      <c r="U8" s="148">
        <f t="shared" si="7"/>
        <v>113.37027659143234</v>
      </c>
      <c r="V8" s="150">
        <f t="shared" si="8"/>
        <v>706971.19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t="shared" ref="D9:E11" si="10">K9+R9</f>
        <v>2095397</v>
      </c>
      <c r="E9" s="35">
        <f t="shared" si="10"/>
        <v>2339924.2999999998</v>
      </c>
      <c r="F9" s="163">
        <f t="shared" si="1"/>
        <v>111.66973609296949</v>
      </c>
      <c r="G9" s="163">
        <f t="shared" si="2"/>
        <v>24.567341471475974</v>
      </c>
      <c r="H9" s="164">
        <f t="shared" si="3"/>
        <v>244527.29999999981</v>
      </c>
      <c r="I9" s="109">
        <v>9524532</v>
      </c>
      <c r="J9" s="117">
        <v>9524532</v>
      </c>
      <c r="K9" s="84">
        <v>2095397</v>
      </c>
      <c r="L9" s="91">
        <v>2339924.2999999998</v>
      </c>
      <c r="M9" s="156">
        <f t="shared" si="4"/>
        <v>111.66973609296949</v>
      </c>
      <c r="N9" s="21">
        <f t="shared" si="9"/>
        <v>24.567341471475974</v>
      </c>
      <c r="O9" s="158">
        <f t="shared" si="5"/>
        <v>244527.29999999981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59053</v>
      </c>
      <c r="E10" s="35">
        <f t="shared" si="10"/>
        <v>40973.94</v>
      </c>
      <c r="F10" s="163">
        <f t="shared" si="1"/>
        <v>69.385027009635408</v>
      </c>
      <c r="G10" s="163">
        <f t="shared" si="2"/>
        <v>15.958567021873248</v>
      </c>
      <c r="H10" s="164">
        <f t="shared" si="3"/>
        <v>-18079.059999999998</v>
      </c>
      <c r="I10" s="109">
        <v>256752</v>
      </c>
      <c r="J10" s="117">
        <v>256752</v>
      </c>
      <c r="K10" s="84">
        <v>59053</v>
      </c>
      <c r="L10" s="91">
        <v>40973.94</v>
      </c>
      <c r="M10" s="156">
        <f t="shared" si="4"/>
        <v>69.385027009635408</v>
      </c>
      <c r="N10" s="21">
        <f t="shared" si="9"/>
        <v>15.958567021873248</v>
      </c>
      <c r="O10" s="158">
        <f t="shared" si="5"/>
        <v>-18079.059999999998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1371626</v>
      </c>
      <c r="D11" s="54">
        <f t="shared" si="10"/>
        <v>848045</v>
      </c>
      <c r="E11" s="35">
        <f t="shared" si="10"/>
        <v>1555016.19</v>
      </c>
      <c r="F11" s="163">
        <f t="shared" si="1"/>
        <v>183.36482026307564</v>
      </c>
      <c r="G11" s="163">
        <f t="shared" si="2"/>
        <v>113.37027659143234</v>
      </c>
      <c r="H11" s="164">
        <f t="shared" si="3"/>
        <v>706971.19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1371626</v>
      </c>
      <c r="R11" s="126">
        <v>848045</v>
      </c>
      <c r="S11" s="91">
        <v>1555016.19</v>
      </c>
      <c r="T11" s="159">
        <f t="shared" si="6"/>
        <v>183.36482026307564</v>
      </c>
      <c r="U11" s="160">
        <f t="shared" si="7"/>
        <v>113.37027659143234</v>
      </c>
      <c r="V11" s="161">
        <f t="shared" si="8"/>
        <v>706971.19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60722421</v>
      </c>
      <c r="D12" s="47">
        <f>D13+D14+D15+D16</f>
        <v>8322978</v>
      </c>
      <c r="E12" s="34">
        <f>E13+E14+E15+E16</f>
        <v>9552615.5500000007</v>
      </c>
      <c r="F12" s="162">
        <f t="shared" si="1"/>
        <v>114.77400937500977</v>
      </c>
      <c r="G12" s="162">
        <f t="shared" si="2"/>
        <v>15.731611804476639</v>
      </c>
      <c r="H12" s="51">
        <f t="shared" si="3"/>
        <v>1229637.5500000007</v>
      </c>
      <c r="I12" s="30">
        <f>I13+I14+I15+I16</f>
        <v>16422976</v>
      </c>
      <c r="J12" s="116">
        <f>J13+J14+J15+J16</f>
        <v>16422976</v>
      </c>
      <c r="K12" s="82">
        <f>K13+K14+K15+K16</f>
        <v>1637412</v>
      </c>
      <c r="L12" s="32">
        <f>L13+L14+L15+L16</f>
        <v>2036427.04</v>
      </c>
      <c r="M12" s="156">
        <f t="shared" si="4"/>
        <v>124.36864026891217</v>
      </c>
      <c r="N12" s="21">
        <f t="shared" si="9"/>
        <v>12.399866138755851</v>
      </c>
      <c r="O12" s="157">
        <f t="shared" si="5"/>
        <v>399015.04000000004</v>
      </c>
      <c r="P12" s="103">
        <f>P13+P14+P15+P16</f>
        <v>44299445</v>
      </c>
      <c r="Q12" s="41">
        <f>Q13+Q14+Q16</f>
        <v>44299445</v>
      </c>
      <c r="R12" s="127">
        <f>R13+R14+R15+R16</f>
        <v>6685566</v>
      </c>
      <c r="S12" s="32">
        <f>S13+S14+S15+S16</f>
        <v>7516188.5099999998</v>
      </c>
      <c r="T12" s="21">
        <f t="shared" si="6"/>
        <v>112.42411652207159</v>
      </c>
      <c r="U12" s="148">
        <f t="shared" si="7"/>
        <v>16.966778048799483</v>
      </c>
      <c r="V12" s="150">
        <f t="shared" si="8"/>
        <v>830622.50999999978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t="shared" ref="D13:E15" si="11">K13+R13</f>
        <v>151194</v>
      </c>
      <c r="E13" s="35">
        <f t="shared" si="11"/>
        <v>230170.48</v>
      </c>
      <c r="F13" s="163">
        <f t="shared" si="1"/>
        <v>152.235194518301</v>
      </c>
      <c r="G13" s="163">
        <f t="shared" si="2"/>
        <v>4.7709372445941272</v>
      </c>
      <c r="H13" s="164">
        <f t="shared" si="3"/>
        <v>78976.48000000001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151194</v>
      </c>
      <c r="S13" s="91">
        <v>230170.48</v>
      </c>
      <c r="T13" s="159">
        <f t="shared" si="6"/>
        <v>152.235194518301</v>
      </c>
      <c r="U13" s="160">
        <f t="shared" si="7"/>
        <v>4.7709372445941272</v>
      </c>
      <c r="V13" s="161">
        <f t="shared" si="8"/>
        <v>78976.48000000001</v>
      </c>
    </row>
    <row r="14" spans="1:22" ht="16.5">
      <c r="A14" s="15" t="s">
        <v>5</v>
      </c>
      <c r="B14" s="98">
        <f>I14+P14</f>
        <v>23568001</v>
      </c>
      <c r="C14" s="50">
        <f t="shared" si="0"/>
        <v>23568001</v>
      </c>
      <c r="D14" s="54">
        <f t="shared" si="11"/>
        <v>4720613</v>
      </c>
      <c r="E14" s="35">
        <f t="shared" si="11"/>
        <v>5249588.67</v>
      </c>
      <c r="F14" s="163">
        <f t="shared" si="1"/>
        <v>111.20565634166579</v>
      </c>
      <c r="G14" s="163">
        <f t="shared" si="2"/>
        <v>22.274221178113493</v>
      </c>
      <c r="H14" s="164">
        <f t="shared" si="3"/>
        <v>528975.66999999993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23568001</v>
      </c>
      <c r="R14" s="126">
        <v>4720613</v>
      </c>
      <c r="S14" s="91">
        <v>5249588.67</v>
      </c>
      <c r="T14" s="159">
        <f t="shared" si="6"/>
        <v>111.20565634166579</v>
      </c>
      <c r="U14" s="160">
        <f t="shared" si="7"/>
        <v>22.274221178113493</v>
      </c>
      <c r="V14" s="161">
        <f t="shared" si="8"/>
        <v>528975.66999999993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3451171</v>
      </c>
      <c r="E16" s="34">
        <f>E17+E18</f>
        <v>4072856.4</v>
      </c>
      <c r="F16" s="162">
        <f t="shared" si="1"/>
        <v>118.01375243359426</v>
      </c>
      <c r="G16" s="162">
        <f t="shared" si="2"/>
        <v>12.597765338072628</v>
      </c>
      <c r="H16" s="51">
        <f t="shared" si="3"/>
        <v>621685.39999999991</v>
      </c>
      <c r="I16" s="30">
        <f>I17+I18</f>
        <v>16422976</v>
      </c>
      <c r="J16" s="116">
        <f>J17+J18</f>
        <v>16422976</v>
      </c>
      <c r="K16" s="82">
        <f>K17+K18</f>
        <v>1637412</v>
      </c>
      <c r="L16" s="32">
        <f>L17+L18</f>
        <v>2036427.04</v>
      </c>
      <c r="M16" s="156">
        <f t="shared" si="4"/>
        <v>124.36864026891217</v>
      </c>
      <c r="N16" s="25">
        <f>L16/J16*100</f>
        <v>12.399866138755851</v>
      </c>
      <c r="O16" s="157">
        <f t="shared" si="5"/>
        <v>399015.04000000004</v>
      </c>
      <c r="P16" s="103">
        <f>P17+P18</f>
        <v>15907015</v>
      </c>
      <c r="Q16" s="41">
        <f>Q17+Q18</f>
        <v>15907015</v>
      </c>
      <c r="R16" s="127">
        <f>R17+R18</f>
        <v>1813759</v>
      </c>
      <c r="S16" s="32">
        <f>S17+S18</f>
        <v>2036429.3599999999</v>
      </c>
      <c r="T16" s="21">
        <f t="shared" si="6"/>
        <v>112.27673356824141</v>
      </c>
      <c r="U16" s="148">
        <f t="shared" si="7"/>
        <v>12.802083609024068</v>
      </c>
      <c r="V16" s="150">
        <f t="shared" si="8"/>
        <v>222670.35999999987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t="shared" ref="D17:E20" si="12">K17+R17</f>
        <v>1968585</v>
      </c>
      <c r="E17" s="35">
        <f t="shared" si="12"/>
        <v>2281143.5699999998</v>
      </c>
      <c r="F17" s="163">
        <f t="shared" si="1"/>
        <v>115.87732152789947</v>
      </c>
      <c r="G17" s="163">
        <f t="shared" si="2"/>
        <v>52.677299452638557</v>
      </c>
      <c r="H17" s="164">
        <f t="shared" si="3"/>
        <v>312558.56999999983</v>
      </c>
      <c r="I17" s="109">
        <v>2026000</v>
      </c>
      <c r="J17" s="117">
        <v>2026000</v>
      </c>
      <c r="K17" s="132">
        <v>931960</v>
      </c>
      <c r="L17" s="91">
        <v>1140571.6599999999</v>
      </c>
      <c r="M17" s="156">
        <f t="shared" si="4"/>
        <v>122.38418601656721</v>
      </c>
      <c r="N17" s="25">
        <f t="shared" ref="N17:N37" si="13">L17/J17*100</f>
        <v>56.296725567620918</v>
      </c>
      <c r="O17" s="158">
        <f t="shared" si="5"/>
        <v>208611.65999999992</v>
      </c>
      <c r="P17" s="104">
        <v>2304411</v>
      </c>
      <c r="Q17" s="42">
        <v>2304411</v>
      </c>
      <c r="R17" s="126">
        <v>1036625</v>
      </c>
      <c r="S17" s="91">
        <v>1140571.9099999999</v>
      </c>
      <c r="T17" s="159">
        <f t="shared" si="6"/>
        <v>110.02743615097069</v>
      </c>
      <c r="U17" s="160">
        <f t="shared" si="7"/>
        <v>49.495159934577636</v>
      </c>
      <c r="V17" s="161">
        <f t="shared" si="8"/>
        <v>103946.90999999992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1482586</v>
      </c>
      <c r="E18" s="35">
        <f t="shared" si="12"/>
        <v>1791712.83</v>
      </c>
      <c r="F18" s="163">
        <f t="shared" si="1"/>
        <v>120.85051592285372</v>
      </c>
      <c r="G18" s="163">
        <f t="shared" si="2"/>
        <v>6.3990703789128274</v>
      </c>
      <c r="H18" s="164">
        <f t="shared" si="3"/>
        <v>309126.83000000007</v>
      </c>
      <c r="I18" s="109">
        <v>14396976</v>
      </c>
      <c r="J18" s="117">
        <v>14396976</v>
      </c>
      <c r="K18" s="84">
        <v>705452</v>
      </c>
      <c r="L18" s="91">
        <v>895855.38</v>
      </c>
      <c r="M18" s="156">
        <f t="shared" si="4"/>
        <v>126.99026723292302</v>
      </c>
      <c r="N18" s="25">
        <f t="shared" si="13"/>
        <v>6.2225246468425031</v>
      </c>
      <c r="O18" s="158">
        <f t="shared" si="5"/>
        <v>190403.38</v>
      </c>
      <c r="P18" s="104">
        <v>13602604</v>
      </c>
      <c r="Q18" s="42">
        <v>13602604</v>
      </c>
      <c r="R18" s="126">
        <v>777134</v>
      </c>
      <c r="S18" s="91">
        <v>895857.45</v>
      </c>
      <c r="T18" s="159">
        <f t="shared" si="6"/>
        <v>115.27708863593666</v>
      </c>
      <c r="U18" s="160">
        <f t="shared" si="7"/>
        <v>6.58592612120444</v>
      </c>
      <c r="V18" s="161">
        <f t="shared" si="8"/>
        <v>118723.44999999995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314282</v>
      </c>
      <c r="E19" s="34">
        <f t="shared" si="12"/>
        <v>417893.96</v>
      </c>
      <c r="F19" s="162">
        <f t="shared" si="1"/>
        <v>132.96783143800789</v>
      </c>
      <c r="G19" s="162">
        <f t="shared" si="2"/>
        <v>28.785551772379385</v>
      </c>
      <c r="H19" s="51">
        <f t="shared" si="3"/>
        <v>103611.96000000002</v>
      </c>
      <c r="I19" s="30">
        <v>942066</v>
      </c>
      <c r="J19" s="116">
        <v>942066</v>
      </c>
      <c r="K19" s="73">
        <v>196784</v>
      </c>
      <c r="L19" s="81">
        <v>282466.96000000002</v>
      </c>
      <c r="M19" s="156">
        <f t="shared" si="4"/>
        <v>143.54162940076429</v>
      </c>
      <c r="N19" s="25">
        <f t="shared" si="13"/>
        <v>29.98377608362896</v>
      </c>
      <c r="O19" s="157">
        <f t="shared" si="5"/>
        <v>85682.960000000021</v>
      </c>
      <c r="P19" s="103">
        <v>509683</v>
      </c>
      <c r="Q19" s="41">
        <v>509683</v>
      </c>
      <c r="R19" s="96">
        <v>117498</v>
      </c>
      <c r="S19" s="81">
        <v>135427</v>
      </c>
      <c r="T19" s="21">
        <f t="shared" si="6"/>
        <v>115.25898313162777</v>
      </c>
      <c r="U19" s="148">
        <f t="shared" si="7"/>
        <v>26.570829319400492</v>
      </c>
      <c r="V19" s="150">
        <f t="shared" si="8"/>
        <v>17929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17522979</v>
      </c>
      <c r="E21" s="36">
        <f>E22+E23+E24+E25+E26</f>
        <v>16850769.98</v>
      </c>
      <c r="F21" s="162">
        <f t="shared" si="1"/>
        <v>96.163842803212859</v>
      </c>
      <c r="G21" s="162">
        <f t="shared" si="2"/>
        <v>24.743251278231547</v>
      </c>
      <c r="H21" s="51">
        <f t="shared" si="3"/>
        <v>-672209.01999999955</v>
      </c>
      <c r="I21" s="110">
        <f>I22+I23+I24+I25+I26</f>
        <v>33090058</v>
      </c>
      <c r="J21" s="118">
        <f>J22+J23+J24+J25+J26</f>
        <v>39890848</v>
      </c>
      <c r="K21" s="86">
        <f>K22+K23+K24+K25+K26</f>
        <v>15963343</v>
      </c>
      <c r="L21" s="67">
        <f>L22+L23+L24+L25+L26</f>
        <v>16060206.01</v>
      </c>
      <c r="M21" s="156">
        <f t="shared" si="4"/>
        <v>100.60678399255094</v>
      </c>
      <c r="N21" s="25">
        <f t="shared" si="13"/>
        <v>40.260377543239997</v>
      </c>
      <c r="O21" s="157">
        <f t="shared" si="5"/>
        <v>96863.009999999776</v>
      </c>
      <c r="P21" s="105">
        <f>P22+P23+P24+P25+P26</f>
        <v>36024286</v>
      </c>
      <c r="Q21" s="133">
        <f>Q22+Q23+Q25+Q24</f>
        <v>28211641</v>
      </c>
      <c r="R21" s="135">
        <f>R22+R23+R25+R24</f>
        <v>1559636</v>
      </c>
      <c r="S21" s="134">
        <f>S22+S23+S25+S24</f>
        <v>790563.97</v>
      </c>
      <c r="T21" s="21">
        <f t="shared" si="6"/>
        <v>50.689004998602236</v>
      </c>
      <c r="U21" s="148">
        <f t="shared" si="7"/>
        <v>2.8022615557882649</v>
      </c>
      <c r="V21" s="150">
        <f t="shared" si="8"/>
        <v>-769072.03</v>
      </c>
    </row>
    <row r="22" spans="1:22" ht="16.5">
      <c r="A22" s="15" t="s">
        <v>12</v>
      </c>
      <c r="B22" s="98">
        <f t="shared" ref="B22:B28" si="14">I22+P22</f>
        <v>65254940</v>
      </c>
      <c r="C22" s="50">
        <f t="shared" si="0"/>
        <v>64324185</v>
      </c>
      <c r="D22" s="54">
        <f t="shared" ref="D22:E28" si="15">K22+R22</f>
        <v>16597217</v>
      </c>
      <c r="E22" s="35">
        <f t="shared" si="15"/>
        <v>15899318.549999999</v>
      </c>
      <c r="F22" s="163">
        <f t="shared" si="1"/>
        <v>95.795087513768124</v>
      </c>
      <c r="G22" s="163">
        <f t="shared" si="2"/>
        <v>24.717481535133324</v>
      </c>
      <c r="H22" s="164">
        <f t="shared" si="3"/>
        <v>-697898.45000000112</v>
      </c>
      <c r="I22" s="109">
        <f>32556323+121365</f>
        <v>32677688</v>
      </c>
      <c r="J22" s="117">
        <f>39438213+121365</f>
        <v>39559578</v>
      </c>
      <c r="K22" s="84">
        <f>30000+15884890</f>
        <v>15914890</v>
      </c>
      <c r="L22" s="66">
        <f>15884916.39+14344.62</f>
        <v>15899261.01</v>
      </c>
      <c r="M22" s="156">
        <f t="shared" si="4"/>
        <v>99.901796430889561</v>
      </c>
      <c r="N22" s="25">
        <f t="shared" si="13"/>
        <v>40.190673950060841</v>
      </c>
      <c r="O22" s="158">
        <f t="shared" si="5"/>
        <v>-15628.990000000224</v>
      </c>
      <c r="P22" s="104">
        <f>32556252+21000</f>
        <v>32577252</v>
      </c>
      <c r="Q22" s="42">
        <f>24743607+21000</f>
        <v>24764607</v>
      </c>
      <c r="R22" s="125">
        <f>677077+5250</f>
        <v>682327</v>
      </c>
      <c r="S22" s="66">
        <v>57.54</v>
      </c>
      <c r="T22" s="159">
        <f t="shared" si="6"/>
        <v>8.4329068027500006E-3</v>
      </c>
      <c r="U22" s="160">
        <f t="shared" si="7"/>
        <v>2.323477210843685E-4</v>
      </c>
      <c r="V22" s="161">
        <f t="shared" si="8"/>
        <v>-682269.46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793809</v>
      </c>
      <c r="E23" s="37">
        <f t="shared" si="15"/>
        <v>914402.61</v>
      </c>
      <c r="F23" s="163">
        <f t="shared" si="1"/>
        <v>115.19176653325927</v>
      </c>
      <c r="G23" s="163">
        <f t="shared" si="2"/>
        <v>27.454739441935374</v>
      </c>
      <c r="H23" s="164">
        <f t="shared" si="3"/>
        <v>120593.60999999999</v>
      </c>
      <c r="I23" s="111">
        <v>412370</v>
      </c>
      <c r="J23" s="119">
        <v>331270</v>
      </c>
      <c r="K23" s="87">
        <v>48453</v>
      </c>
      <c r="L23" s="92">
        <v>160945</v>
      </c>
      <c r="M23" s="156">
        <f t="shared" si="4"/>
        <v>332.1672548655398</v>
      </c>
      <c r="N23" s="25">
        <f t="shared" si="13"/>
        <v>48.584236423461228</v>
      </c>
      <c r="O23" s="158">
        <f t="shared" si="5"/>
        <v>112492</v>
      </c>
      <c r="P23" s="106">
        <v>2999312</v>
      </c>
      <c r="Q23" s="42">
        <v>2999312</v>
      </c>
      <c r="R23" s="128">
        <v>745356</v>
      </c>
      <c r="S23" s="92">
        <v>753457.61</v>
      </c>
      <c r="T23" s="159">
        <f t="shared" si="6"/>
        <v>101.08694503029425</v>
      </c>
      <c r="U23" s="160">
        <f t="shared" si="7"/>
        <v>25.121014752716626</v>
      </c>
      <c r="V23" s="161">
        <f t="shared" si="8"/>
        <v>8101.609999999986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131953</v>
      </c>
      <c r="E25" s="37">
        <f t="shared" si="15"/>
        <v>28648.82</v>
      </c>
      <c r="F25" s="163">
        <f t="shared" si="1"/>
        <v>21.711382083014406</v>
      </c>
      <c r="G25" s="163">
        <f t="shared" si="2"/>
        <v>6.3987965746601692</v>
      </c>
      <c r="H25" s="164">
        <f t="shared" si="3"/>
        <v>-103304.18</v>
      </c>
      <c r="I25" s="111">
        <v>0</v>
      </c>
      <c r="J25" s="119">
        <v>0</v>
      </c>
      <c r="K25" s="87">
        <v>0</v>
      </c>
      <c r="L25" s="68">
        <v>0</v>
      </c>
      <c r="M25" s="156"/>
      <c r="N25" s="25"/>
      <c r="O25" s="158">
        <f t="shared" si="5"/>
        <v>0</v>
      </c>
      <c r="P25" s="106">
        <v>447722</v>
      </c>
      <c r="Q25" s="42">
        <v>447722</v>
      </c>
      <c r="R25" s="128">
        <v>131953</v>
      </c>
      <c r="S25" s="92">
        <v>28648.82</v>
      </c>
      <c r="T25" s="159">
        <f t="shared" si="6"/>
        <v>21.711382083014406</v>
      </c>
      <c r="U25" s="160">
        <f t="shared" si="7"/>
        <v>6.3987965746601692</v>
      </c>
      <c r="V25" s="161">
        <f t="shared" si="8"/>
        <v>-103304.18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2446725</v>
      </c>
      <c r="E27" s="38">
        <f t="shared" si="15"/>
        <v>2446739.9900000002</v>
      </c>
      <c r="F27" s="162">
        <f t="shared" si="1"/>
        <v>100.00061265569282</v>
      </c>
      <c r="G27" s="162">
        <f t="shared" si="2"/>
        <v>60.114984644111949</v>
      </c>
      <c r="H27" s="51">
        <f t="shared" si="3"/>
        <v>14.990000000223517</v>
      </c>
      <c r="I27" s="112">
        <v>4070100</v>
      </c>
      <c r="J27" s="138">
        <v>4070100</v>
      </c>
      <c r="K27" s="93">
        <v>2446725</v>
      </c>
      <c r="L27" s="81">
        <v>2446739.9900000002</v>
      </c>
      <c r="M27" s="156">
        <f t="shared" si="4"/>
        <v>100.00061265569282</v>
      </c>
      <c r="N27" s="25">
        <f t="shared" si="13"/>
        <v>60.114984644111949</v>
      </c>
      <c r="O27" s="157">
        <f t="shared" si="5"/>
        <v>14.990000000223517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25751.67</v>
      </c>
      <c r="F28" s="162">
        <f t="shared" si="1"/>
        <v>89.189419461289262</v>
      </c>
      <c r="G28" s="162">
        <f t="shared" si="2"/>
        <v>89.189419461289262</v>
      </c>
      <c r="H28" s="51">
        <f t="shared" si="3"/>
        <v>-3121.3400000000038</v>
      </c>
      <c r="I28" s="103">
        <v>21260</v>
      </c>
      <c r="J28" s="120">
        <v>21260</v>
      </c>
      <c r="K28" s="76">
        <v>21260</v>
      </c>
      <c r="L28" s="81">
        <v>16064.52</v>
      </c>
      <c r="M28" s="156">
        <f t="shared" si="4"/>
        <v>75.562182502351831</v>
      </c>
      <c r="N28" s="25">
        <f t="shared" si="13"/>
        <v>75.562182502351831</v>
      </c>
      <c r="O28" s="157">
        <f t="shared" si="5"/>
        <v>-5195.4799999999996</v>
      </c>
      <c r="P28" s="103">
        <v>0</v>
      </c>
      <c r="Q28" s="41">
        <v>7613.01</v>
      </c>
      <c r="R28" s="96">
        <v>7613.01</v>
      </c>
      <c r="S28" s="81">
        <v>9687.15</v>
      </c>
      <c r="T28" s="21">
        <f t="shared" si="6"/>
        <v>127.24467720389174</v>
      </c>
      <c r="U28" s="148">
        <f t="shared" si="7"/>
        <v>127.24467720389174</v>
      </c>
      <c r="V28" s="150">
        <f t="shared" si="8"/>
        <v>2074.1399999999994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8416340</v>
      </c>
      <c r="D29" s="60">
        <f>D30+D31</f>
        <v>5668130</v>
      </c>
      <c r="E29" s="38">
        <f>E30+E31</f>
        <v>5811450.7799999993</v>
      </c>
      <c r="F29" s="162">
        <f t="shared" si="1"/>
        <v>102.5285372777265</v>
      </c>
      <c r="G29" s="162">
        <f t="shared" si="2"/>
        <v>69.049619906039908</v>
      </c>
      <c r="H29" s="51">
        <f t="shared" si="3"/>
        <v>143320.77999999933</v>
      </c>
      <c r="I29" s="113">
        <f>I30+I31</f>
        <v>3337900</v>
      </c>
      <c r="J29" s="121">
        <f>J30+J31</f>
        <v>5462340</v>
      </c>
      <c r="K29" s="88">
        <f>K30+K31</f>
        <v>5456840</v>
      </c>
      <c r="L29" s="69">
        <f>L30+L31</f>
        <v>5637630.2599999998</v>
      </c>
      <c r="M29" s="156">
        <f t="shared" si="4"/>
        <v>103.31309439162592</v>
      </c>
      <c r="N29" s="25">
        <f t="shared" si="13"/>
        <v>103.20906900705558</v>
      </c>
      <c r="O29" s="157">
        <f t="shared" si="5"/>
        <v>180790.25999999978</v>
      </c>
      <c r="P29" s="107">
        <f>P30+P31</f>
        <v>3932350</v>
      </c>
      <c r="Q29" s="41">
        <f>Q30+Q31</f>
        <v>2954000</v>
      </c>
      <c r="R29" s="130">
        <f>R30+R31</f>
        <v>211290</v>
      </c>
      <c r="S29" s="69">
        <f>S30+S31</f>
        <v>173820.52</v>
      </c>
      <c r="T29" s="21">
        <f t="shared" si="6"/>
        <v>82.266325902787628</v>
      </c>
      <c r="U29" s="148">
        <f t="shared" si="7"/>
        <v>5.884242383209207</v>
      </c>
      <c r="V29" s="150">
        <f t="shared" si="8"/>
        <v>-37469.48000000001</v>
      </c>
    </row>
    <row r="30" spans="1:22" ht="16.5">
      <c r="A30" s="15" t="s">
        <v>14</v>
      </c>
      <c r="B30" s="98">
        <f>I30+P30</f>
        <v>650000</v>
      </c>
      <c r="C30" s="50">
        <f t="shared" si="0"/>
        <v>731100</v>
      </c>
      <c r="D30" s="54">
        <f t="shared" ref="D30:E32" si="16">K30+R30</f>
        <v>676100</v>
      </c>
      <c r="E30" s="35">
        <f t="shared" si="16"/>
        <v>1004064.31</v>
      </c>
      <c r="F30" s="163">
        <f t="shared" si="1"/>
        <v>148.5082546960509</v>
      </c>
      <c r="G30" s="163">
        <f t="shared" si="2"/>
        <v>137.33611133907812</v>
      </c>
      <c r="H30" s="164">
        <f t="shared" si="3"/>
        <v>327964.31000000006</v>
      </c>
      <c r="I30" s="109">
        <v>570000</v>
      </c>
      <c r="J30" s="117">
        <v>651100</v>
      </c>
      <c r="K30" s="84">
        <v>651100</v>
      </c>
      <c r="L30" s="91">
        <v>831848.31</v>
      </c>
      <c r="M30" s="156">
        <f t="shared" si="4"/>
        <v>127.76045307940409</v>
      </c>
      <c r="N30" s="25">
        <f t="shared" si="13"/>
        <v>127.76045307940409</v>
      </c>
      <c r="O30" s="158">
        <f t="shared" si="5"/>
        <v>180748.31000000006</v>
      </c>
      <c r="P30" s="104">
        <v>80000</v>
      </c>
      <c r="Q30" s="42">
        <v>80000</v>
      </c>
      <c r="R30" s="126">
        <v>25000</v>
      </c>
      <c r="S30" s="91">
        <v>172216</v>
      </c>
      <c r="T30" s="159">
        <f t="shared" si="6"/>
        <v>688.86399999999992</v>
      </c>
      <c r="U30" s="160">
        <f t="shared" si="7"/>
        <v>215.26999999999998</v>
      </c>
      <c r="V30" s="161">
        <f t="shared" si="8"/>
        <v>147216</v>
      </c>
    </row>
    <row r="31" spans="1:22" ht="16.5">
      <c r="A31" s="15" t="s">
        <v>15</v>
      </c>
      <c r="B31" s="98">
        <f>I31+P31</f>
        <v>6620250</v>
      </c>
      <c r="C31" s="50">
        <f t="shared" si="0"/>
        <v>7685240</v>
      </c>
      <c r="D31" s="54">
        <f t="shared" si="16"/>
        <v>4992030</v>
      </c>
      <c r="E31" s="35">
        <f t="shared" si="16"/>
        <v>4807386.47</v>
      </c>
      <c r="F31" s="163">
        <f t="shared" si="1"/>
        <v>96.301233566304688</v>
      </c>
      <c r="G31" s="163">
        <f t="shared" si="2"/>
        <v>62.553498264205146</v>
      </c>
      <c r="H31" s="164">
        <f t="shared" si="3"/>
        <v>-184643.53000000026</v>
      </c>
      <c r="I31" s="109">
        <v>2767900</v>
      </c>
      <c r="J31" s="117">
        <v>4811240</v>
      </c>
      <c r="K31" s="84">
        <v>4805740</v>
      </c>
      <c r="L31" s="91">
        <v>4805781.95</v>
      </c>
      <c r="M31" s="156">
        <f t="shared" si="4"/>
        <v>100.00087291447311</v>
      </c>
      <c r="N31" s="25">
        <f t="shared" si="13"/>
        <v>99.886556272395481</v>
      </c>
      <c r="O31" s="158">
        <f t="shared" si="5"/>
        <v>41.950000000186265</v>
      </c>
      <c r="P31" s="104">
        <v>3852350</v>
      </c>
      <c r="Q31" s="42">
        <v>2874000</v>
      </c>
      <c r="R31" s="136">
        <v>186290</v>
      </c>
      <c r="S31" s="91">
        <v>1604.52</v>
      </c>
      <c r="T31" s="159">
        <f t="shared" si="6"/>
        <v>0.86130227065328246</v>
      </c>
      <c r="U31" s="160">
        <f t="shared" si="7"/>
        <v>5.5828810020876828E-2</v>
      </c>
      <c r="V31" s="161">
        <f t="shared" si="8"/>
        <v>-184685.48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46290</v>
      </c>
      <c r="E32" s="34">
        <f t="shared" si="16"/>
        <v>496072.86000000004</v>
      </c>
      <c r="F32" s="162">
        <f t="shared" si="1"/>
        <v>1071.6631237848349</v>
      </c>
      <c r="G32" s="162">
        <f t="shared" si="2"/>
        <v>88.968433399153142</v>
      </c>
      <c r="H32" s="51">
        <f t="shared" si="3"/>
        <v>449782.86000000004</v>
      </c>
      <c r="I32" s="30">
        <v>557583</v>
      </c>
      <c r="J32" s="116">
        <v>557583</v>
      </c>
      <c r="K32" s="82">
        <v>46290</v>
      </c>
      <c r="L32" s="81">
        <v>465653.78</v>
      </c>
      <c r="M32" s="156">
        <f t="shared" si="4"/>
        <v>1005.9489738604451</v>
      </c>
      <c r="N32" s="25">
        <f t="shared" si="13"/>
        <v>83.512908392113829</v>
      </c>
      <c r="O32" s="157">
        <f t="shared" si="5"/>
        <v>419363.78</v>
      </c>
      <c r="P32" s="103">
        <v>0</v>
      </c>
      <c r="Q32" s="41">
        <v>0</v>
      </c>
      <c r="R32" s="96">
        <v>0</v>
      </c>
      <c r="S32" s="81">
        <v>30419.08</v>
      </c>
      <c r="T32" s="21"/>
      <c r="U32" s="148"/>
      <c r="V32" s="150">
        <f t="shared" si="8"/>
        <v>30419.08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50014.37</v>
      </c>
      <c r="D33" s="47">
        <f>D34+D35+D36</f>
        <v>50014.37</v>
      </c>
      <c r="E33" s="34">
        <f>E34+E35+E36</f>
        <v>556015.75</v>
      </c>
      <c r="F33" s="162">
        <f t="shared" si="1"/>
        <v>1111.7119939729321</v>
      </c>
      <c r="G33" s="162">
        <f t="shared" si="2"/>
        <v>1111.7119939729321</v>
      </c>
      <c r="H33" s="51">
        <f t="shared" si="3"/>
        <v>506001.38</v>
      </c>
      <c r="I33" s="30">
        <v>0</v>
      </c>
      <c r="J33" s="116">
        <v>0</v>
      </c>
      <c r="K33" s="82">
        <f>K34+K35+K36</f>
        <v>0</v>
      </c>
      <c r="L33" s="32">
        <f>L34+L35+L36</f>
        <v>-345.28</v>
      </c>
      <c r="M33" s="156"/>
      <c r="N33" s="25"/>
      <c r="O33" s="157">
        <f t="shared" si="5"/>
        <v>-345.28</v>
      </c>
      <c r="P33" s="103">
        <v>0</v>
      </c>
      <c r="Q33" s="41">
        <f>Q34+Q35+Q36</f>
        <v>50014.37</v>
      </c>
      <c r="R33" s="124">
        <f>R34+R35+R36</f>
        <v>50014.37</v>
      </c>
      <c r="S33" s="32">
        <f>S34+S35+S36</f>
        <v>556361.03</v>
      </c>
      <c r="T33" s="21">
        <f t="shared" si="6"/>
        <v>1112.4023555630113</v>
      </c>
      <c r="U33" s="148">
        <f t="shared" si="7"/>
        <v>1112.4023555630113</v>
      </c>
      <c r="V33" s="150">
        <f t="shared" si="8"/>
        <v>506346.66000000003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7">K34++R34</f>
        <v>0</v>
      </c>
      <c r="E34" s="35">
        <f t="shared" si="17"/>
        <v>-1545.28</v>
      </c>
      <c r="F34" s="163"/>
      <c r="G34" s="163"/>
      <c r="H34" s="164">
        <f t="shared" si="3"/>
        <v>-1545.28</v>
      </c>
      <c r="I34" s="109"/>
      <c r="J34" s="117"/>
      <c r="K34" s="84"/>
      <c r="L34" s="66">
        <v>-1545.28</v>
      </c>
      <c r="M34" s="156"/>
      <c r="N34" s="25"/>
      <c r="O34" s="158">
        <f t="shared" si="5"/>
        <v>-1545.28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50014.37</v>
      </c>
      <c r="D35" s="54">
        <f t="shared" si="17"/>
        <v>50014.37</v>
      </c>
      <c r="E35" s="35">
        <f t="shared" si="17"/>
        <v>557561.03</v>
      </c>
      <c r="F35" s="163">
        <f t="shared" si="1"/>
        <v>1114.8016660011913</v>
      </c>
      <c r="G35" s="163">
        <f t="shared" si="2"/>
        <v>1114.8016660011913</v>
      </c>
      <c r="H35" s="164">
        <f t="shared" si="3"/>
        <v>507546.66000000003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50014.37</v>
      </c>
      <c r="R35" s="126">
        <v>50014.37</v>
      </c>
      <c r="S35" s="91">
        <v>556361.03</v>
      </c>
      <c r="T35" s="159">
        <f t="shared" si="6"/>
        <v>1112.4023555630113</v>
      </c>
      <c r="U35" s="160">
        <f t="shared" si="7"/>
        <v>1112.4023555630113</v>
      </c>
      <c r="V35" s="161">
        <f t="shared" si="8"/>
        <v>506346.66000000003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262515324.38</v>
      </c>
      <c r="D37" s="62">
        <f>K37+R37</f>
        <v>63811049.589999996</v>
      </c>
      <c r="E37" s="39">
        <f>L37+S37</f>
        <v>67646823.510000005</v>
      </c>
      <c r="F37" s="162">
        <f t="shared" si="1"/>
        <v>106.01114375119309</v>
      </c>
      <c r="G37" s="162">
        <f t="shared" si="2"/>
        <v>25.768714138790195</v>
      </c>
      <c r="H37" s="51">
        <f t="shared" si="3"/>
        <v>3835773.9200000092</v>
      </c>
      <c r="I37" s="108">
        <f t="shared" ref="I37:S37" si="18">I5</f>
        <v>138568562</v>
      </c>
      <c r="J37" s="122">
        <f t="shared" si="18"/>
        <v>147493792</v>
      </c>
      <c r="K37" s="80">
        <f t="shared" si="18"/>
        <v>45512598</v>
      </c>
      <c r="L37" s="70">
        <f t="shared" si="18"/>
        <v>47145459.690000005</v>
      </c>
      <c r="M37" s="156">
        <f t="shared" si="4"/>
        <v>103.5877136479882</v>
      </c>
      <c r="N37" s="25">
        <f t="shared" si="13"/>
        <v>31.964368839333936</v>
      </c>
      <c r="O37" s="157">
        <f t="shared" si="5"/>
        <v>1632861.6900000051</v>
      </c>
      <c r="P37" s="108">
        <f t="shared" si="18"/>
        <v>123754900</v>
      </c>
      <c r="Q37" s="122">
        <f t="shared" si="18"/>
        <v>115021532.38000001</v>
      </c>
      <c r="R37" s="131">
        <f t="shared" si="18"/>
        <v>18298451.589999996</v>
      </c>
      <c r="S37" s="70">
        <f t="shared" si="18"/>
        <v>20501363.82</v>
      </c>
      <c r="T37" s="21">
        <f t="shared" si="6"/>
        <v>112.0387903816074</v>
      </c>
      <c r="U37" s="155">
        <f t="shared" si="7"/>
        <v>17.823935567358852</v>
      </c>
      <c r="V37" s="150">
        <f t="shared" si="8"/>
        <v>2202912.2300000042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2:G2"/>
    <mergeCell ref="A3:A4"/>
    <mergeCell ref="B3:G3"/>
    <mergeCell ref="I3:N3"/>
    <mergeCell ref="P3:V3"/>
  </mergeCells>
  <pageMargins left="0.70866141732283472" right="0" top="0.74803149606299213" bottom="0" header="0.31496062992125984" footer="0.31496062992125984"/>
  <pageSetup paperSize="9" scale="78" fitToWidth="3" orientation="landscape" verticalDpi="0" r:id="rId1"/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topLeftCell="A2" zoomScale="60" zoomScaleNormal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sqref="A1:IV65536"/>
    </sheetView>
  </sheetViews>
  <sheetFormatPr defaultRowHeight="12.75"/>
  <cols>
    <col min="1" max="1" width="54.28515625" customWidth="1"/>
    <col min="2" max="3" width="13.5703125" style="1" customWidth="1"/>
    <col min="4" max="4" width="14.7109375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3" customWidth="1"/>
    <col min="10" max="10" width="13.5703125" customWidth="1"/>
    <col min="11" max="11" width="14.42578125" customWidth="1"/>
    <col min="12" max="12" width="14.28515625" customWidth="1"/>
    <col min="13" max="13" width="8.42578125" customWidth="1"/>
    <col min="14" max="14" width="7.85546875" customWidth="1"/>
    <col min="15" max="15" width="12.140625" customWidth="1"/>
    <col min="16" max="17" width="13.7109375" customWidth="1"/>
    <col min="18" max="18" width="13.42578125" customWidth="1"/>
    <col min="19" max="19" width="13.7109375" customWidth="1"/>
    <col min="20" max="20" width="8.28515625" customWidth="1"/>
    <col min="21" max="21" width="7.85546875" customWidth="1"/>
    <col min="22" max="22" width="14.140625" customWidth="1"/>
  </cols>
  <sheetData>
    <row r="1" spans="1:22" ht="12.75" hidden="1" customHeight="1">
      <c r="A1" s="180" t="s">
        <v>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22" ht="20.2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37"/>
      <c r="Q2" s="137"/>
      <c r="R2" s="137"/>
      <c r="S2" s="137"/>
      <c r="T2" s="137"/>
      <c r="U2" s="137"/>
    </row>
    <row r="3" spans="1:22" ht="13.5" thickBot="1">
      <c r="A3" s="177" t="s">
        <v>0</v>
      </c>
      <c r="B3" s="171" t="s">
        <v>53</v>
      </c>
      <c r="C3" s="172"/>
      <c r="D3" s="172"/>
      <c r="E3" s="172"/>
      <c r="F3" s="172"/>
      <c r="G3" s="172"/>
      <c r="H3" s="140"/>
      <c r="I3" s="171" t="s">
        <v>31</v>
      </c>
      <c r="J3" s="172"/>
      <c r="K3" s="172"/>
      <c r="L3" s="172"/>
      <c r="M3" s="172"/>
      <c r="N3" s="172"/>
      <c r="O3" s="140"/>
      <c r="P3" s="173" t="s">
        <v>32</v>
      </c>
      <c r="Q3" s="174"/>
      <c r="R3" s="174"/>
      <c r="S3" s="174"/>
      <c r="T3" s="174"/>
      <c r="U3" s="174"/>
      <c r="V3" s="179"/>
    </row>
    <row r="4" spans="1:22" ht="74.25" customHeight="1">
      <c r="A4" s="178"/>
      <c r="B4" s="63" t="s">
        <v>39</v>
      </c>
      <c r="C4" s="8" t="s">
        <v>46</v>
      </c>
      <c r="D4" s="63" t="s">
        <v>57</v>
      </c>
      <c r="E4" s="10" t="s">
        <v>58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01/05.2015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01/05.2015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269685830.61000001</v>
      </c>
      <c r="D5" s="51">
        <f>D6+D8+D12+D19+D20+D21+D27+D28+D29+D32+D33+D7</f>
        <v>122479506.72</v>
      </c>
      <c r="E5" s="33">
        <f>E6+E8+E12+E19+E20+E21+E27+E28+E29+E32+E33+E7</f>
        <v>93293333.930000007</v>
      </c>
      <c r="F5" s="162">
        <f>E5/D5*100</f>
        <v>76.170566348930194</v>
      </c>
      <c r="G5" s="162">
        <f>E5/C5*100</f>
        <v>34.593339115733528</v>
      </c>
      <c r="H5" s="166">
        <f>E5-D5</f>
        <v>-29186172.789999992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73156304</v>
      </c>
      <c r="L5" s="139">
        <f>L6+L8+L12+L19+L20+L21+L27+L28+L29+L32+L33+L7</f>
        <v>60217577.730000012</v>
      </c>
      <c r="M5" s="156">
        <f>L5/K5*100</f>
        <v>82.31358671427688</v>
      </c>
      <c r="N5" s="21">
        <f>L5/J5*100</f>
        <v>40.827194767627923</v>
      </c>
      <c r="O5" s="165">
        <f>L5-K5</f>
        <v>-12938726.269999988</v>
      </c>
      <c r="P5" s="102">
        <f>P6+P8+P12+P19+P20+P21+P27+P28+P29+P32+P33+P7</f>
        <v>123754900</v>
      </c>
      <c r="Q5" s="115">
        <f>Q6+Q8+Q12+Q19+Q20+Q21+Q27+Q28+Q29+Q32+Q33+Q7</f>
        <v>122192038.61</v>
      </c>
      <c r="R5" s="123">
        <f>R6+R8+R12+R19+R20+R21+R27+R28+R29+R32+R33+R7</f>
        <v>49323202.719999999</v>
      </c>
      <c r="S5" s="65">
        <f>S6+S8+S12+S19+S20+S21+S27+S28+S29+S32+S33+S7</f>
        <v>33075756.199999996</v>
      </c>
      <c r="T5" s="21">
        <f>S5/R5*100</f>
        <v>67.059222386197874</v>
      </c>
      <c r="U5" s="148">
        <f>S5/Q5*100</f>
        <v>27.068667137609349</v>
      </c>
      <c r="V5" s="150">
        <f>S5-R5</f>
        <v>-16247446.520000003</v>
      </c>
    </row>
    <row r="6" spans="1:22" ht="16.5">
      <c r="A6" s="14" t="s">
        <v>28</v>
      </c>
      <c r="B6" s="97">
        <f>I6+P6</f>
        <v>81162643</v>
      </c>
      <c r="C6" s="50">
        <f t="shared" ref="C6:C37" si="0">Q6+J6</f>
        <v>81162643</v>
      </c>
      <c r="D6" s="47">
        <f>K6+R6</f>
        <v>38041458.600000001</v>
      </c>
      <c r="E6" s="34">
        <f>L6+S6</f>
        <v>27965433.25</v>
      </c>
      <c r="F6" s="162">
        <f t="shared" ref="F6:F37" si="1">E6/D6*100</f>
        <v>73.513041505721873</v>
      </c>
      <c r="G6" s="162">
        <f t="shared" ref="G6:G37" si="2">E6/C6*100</f>
        <v>34.456040631895149</v>
      </c>
      <c r="H6" s="166">
        <f t="shared" ref="H6:H37" si="3">E6-D6</f>
        <v>-10076025.350000001</v>
      </c>
      <c r="I6" s="30">
        <v>59025769</v>
      </c>
      <c r="J6" s="116">
        <v>59025769</v>
      </c>
      <c r="K6" s="76">
        <v>27712514</v>
      </c>
      <c r="L6" s="81">
        <v>20411866.82</v>
      </c>
      <c r="M6" s="156">
        <f t="shared" ref="M6:M37" si="4">L6/K6*100</f>
        <v>73.655774499563634</v>
      </c>
      <c r="N6" s="21">
        <f>L6/J6*100</f>
        <v>34.581280626771672</v>
      </c>
      <c r="O6" s="157">
        <f t="shared" ref="O6:O37" si="5">L6-K6</f>
        <v>-7300647.1799999997</v>
      </c>
      <c r="P6" s="103">
        <v>22136874</v>
      </c>
      <c r="Q6" s="41">
        <v>22136874</v>
      </c>
      <c r="R6" s="96">
        <v>10328944.6</v>
      </c>
      <c r="S6" s="81">
        <v>7553566.4299999997</v>
      </c>
      <c r="T6" s="21">
        <f t="shared" ref="T6:T37" si="6">S6/R6*100</f>
        <v>73.130089496268567</v>
      </c>
      <c r="U6" s="148">
        <f t="shared" ref="U6:U37" si="7">S6/Q6*100</f>
        <v>34.122100663354729</v>
      </c>
      <c r="V6" s="150">
        <f t="shared" ref="V6:V37" si="8">S6-R6</f>
        <v>-2775378.17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12635947.51</v>
      </c>
      <c r="E7" s="34">
        <f>L7+S7</f>
        <v>9071472.8599999994</v>
      </c>
      <c r="F7" s="162">
        <f t="shared" si="1"/>
        <v>71.79099828343621</v>
      </c>
      <c r="G7" s="162">
        <f t="shared" si="2"/>
        <v>33.848524201422066</v>
      </c>
      <c r="H7" s="51">
        <f t="shared" si="3"/>
        <v>-3564474.6500000004</v>
      </c>
      <c r="I7" s="30">
        <v>11319566</v>
      </c>
      <c r="J7" s="116">
        <v>11319566</v>
      </c>
      <c r="K7" s="76">
        <v>5659784</v>
      </c>
      <c r="L7" s="81">
        <v>3786969.07</v>
      </c>
      <c r="M7" s="156">
        <f t="shared" si="4"/>
        <v>66.910134203001377</v>
      </c>
      <c r="N7" s="21">
        <f t="shared" ref="N7:N12" si="9">L7/J7*100</f>
        <v>33.455073012516557</v>
      </c>
      <c r="O7" s="157">
        <f t="shared" si="5"/>
        <v>-1872814.9300000002</v>
      </c>
      <c r="P7" s="103">
        <v>15480636</v>
      </c>
      <c r="Q7" s="41">
        <v>15480636</v>
      </c>
      <c r="R7" s="96">
        <v>6976163.5099999998</v>
      </c>
      <c r="S7" s="81">
        <v>5284503.79</v>
      </c>
      <c r="T7" s="21">
        <f t="shared" si="6"/>
        <v>75.750859085010177</v>
      </c>
      <c r="U7" s="148">
        <f t="shared" si="7"/>
        <v>34.136218886614216</v>
      </c>
      <c r="V7" s="150">
        <f t="shared" si="8"/>
        <v>-1691659.7199999997</v>
      </c>
    </row>
    <row r="8" spans="1:22" ht="16.5">
      <c r="A8" s="14" t="s">
        <v>2</v>
      </c>
      <c r="B8" s="97">
        <f>B9+B11+B10</f>
        <v>11152910</v>
      </c>
      <c r="C8" s="50">
        <f t="shared" si="0"/>
        <v>16981918</v>
      </c>
      <c r="D8" s="47">
        <f>D9+D11+D10</f>
        <v>11750982</v>
      </c>
      <c r="E8" s="34">
        <f>E9+E11+E10</f>
        <v>12066774.539999999</v>
      </c>
      <c r="F8" s="162">
        <f t="shared" si="1"/>
        <v>102.68737148946359</v>
      </c>
      <c r="G8" s="162">
        <f t="shared" si="2"/>
        <v>71.056605855710757</v>
      </c>
      <c r="H8" s="51">
        <f t="shared" si="3"/>
        <v>315792.53999999911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4452035.45</v>
      </c>
      <c r="M8" s="156">
        <f t="shared" si="4"/>
        <v>96.734192114053315</v>
      </c>
      <c r="N8" s="21">
        <f t="shared" si="9"/>
        <v>45.515859165320222</v>
      </c>
      <c r="O8" s="157">
        <f t="shared" si="5"/>
        <v>-150303.54999999981</v>
      </c>
      <c r="P8" s="103">
        <f>P9+P11</f>
        <v>1371626</v>
      </c>
      <c r="Q8" s="41">
        <f>Q9+Q10+Q11</f>
        <v>7200634</v>
      </c>
      <c r="R8" s="124">
        <f>R9+R11</f>
        <v>7148643</v>
      </c>
      <c r="S8" s="32">
        <f>S9+S11</f>
        <v>7614739.0899999999</v>
      </c>
      <c r="T8" s="21">
        <f t="shared" si="6"/>
        <v>106.52006387785767</v>
      </c>
      <c r="U8" s="148">
        <f t="shared" si="7"/>
        <v>105.75095317995608</v>
      </c>
      <c r="V8" s="150">
        <f t="shared" si="8"/>
        <v>466096.08999999985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t="shared" ref="D9:E11" si="10">K9+R9</f>
        <v>4476530</v>
      </c>
      <c r="E9" s="35">
        <f t="shared" si="10"/>
        <v>4411061.51</v>
      </c>
      <c r="F9" s="163">
        <f t="shared" si="1"/>
        <v>98.537517005359049</v>
      </c>
      <c r="G9" s="163">
        <f t="shared" si="2"/>
        <v>46.312632578692579</v>
      </c>
      <c r="H9" s="164">
        <f t="shared" si="3"/>
        <v>-65468.490000000224</v>
      </c>
      <c r="I9" s="109">
        <v>9524532</v>
      </c>
      <c r="J9" s="117">
        <v>9524532</v>
      </c>
      <c r="K9" s="84">
        <v>4476530</v>
      </c>
      <c r="L9" s="91">
        <v>4411061.51</v>
      </c>
      <c r="M9" s="156">
        <f t="shared" si="4"/>
        <v>98.537517005359049</v>
      </c>
      <c r="N9" s="21">
        <f t="shared" si="9"/>
        <v>46.312632578692579</v>
      </c>
      <c r="O9" s="158">
        <f t="shared" si="5"/>
        <v>-65468.490000000224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40973.94</v>
      </c>
      <c r="F10" s="163">
        <f t="shared" si="1"/>
        <v>32.568369512515005</v>
      </c>
      <c r="G10" s="163">
        <f t="shared" si="2"/>
        <v>15.958567021873248</v>
      </c>
      <c r="H10" s="164">
        <f t="shared" si="3"/>
        <v>-84835.06</v>
      </c>
      <c r="I10" s="109">
        <v>256752</v>
      </c>
      <c r="J10" s="117">
        <v>256752</v>
      </c>
      <c r="K10" s="84">
        <v>125809</v>
      </c>
      <c r="L10" s="91">
        <v>40973.94</v>
      </c>
      <c r="M10" s="156">
        <f t="shared" si="4"/>
        <v>32.568369512515005</v>
      </c>
      <c r="N10" s="21">
        <f t="shared" si="9"/>
        <v>15.958567021873248</v>
      </c>
      <c r="O10" s="158">
        <f t="shared" si="5"/>
        <v>-84835.06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7200634</v>
      </c>
      <c r="D11" s="54">
        <f t="shared" si="10"/>
        <v>7148643</v>
      </c>
      <c r="E11" s="35">
        <f t="shared" si="10"/>
        <v>7614739.0899999999</v>
      </c>
      <c r="F11" s="163">
        <f t="shared" si="1"/>
        <v>106.52006387785767</v>
      </c>
      <c r="G11" s="163">
        <f t="shared" si="2"/>
        <v>105.75095317995608</v>
      </c>
      <c r="H11" s="164">
        <f t="shared" si="3"/>
        <v>466096.08999999985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7200634</v>
      </c>
      <c r="R11" s="126">
        <v>7148643</v>
      </c>
      <c r="S11" s="91">
        <v>7614739.0899999999</v>
      </c>
      <c r="T11" s="159">
        <f t="shared" si="6"/>
        <v>106.52006387785767</v>
      </c>
      <c r="U11" s="160">
        <f t="shared" si="7"/>
        <v>105.75095317995608</v>
      </c>
      <c r="V11" s="161">
        <f t="shared" si="8"/>
        <v>466096.08999999985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60912421</v>
      </c>
      <c r="D12" s="47">
        <f>D13+D14+D15+D16</f>
        <v>14681683</v>
      </c>
      <c r="E12" s="34">
        <f>E13+E14+E15+E16</f>
        <v>12319919.140000001</v>
      </c>
      <c r="F12" s="162">
        <f t="shared" si="1"/>
        <v>83.913534572296655</v>
      </c>
      <c r="G12" s="162">
        <f t="shared" si="2"/>
        <v>20.225627117989614</v>
      </c>
      <c r="H12" s="51">
        <f t="shared" si="3"/>
        <v>-2361763.8599999994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2566795.08</v>
      </c>
      <c r="M12" s="156">
        <f t="shared" si="4"/>
        <v>90.099562524154535</v>
      </c>
      <c r="N12" s="21">
        <f t="shared" si="9"/>
        <v>15.629293253549175</v>
      </c>
      <c r="O12" s="157">
        <f t="shared" si="5"/>
        <v>-282047.91999999993</v>
      </c>
      <c r="P12" s="103">
        <f>P13+P14+P15+P16</f>
        <v>44299445</v>
      </c>
      <c r="Q12" s="41">
        <f>Q13+Q14+Q16</f>
        <v>44489445</v>
      </c>
      <c r="R12" s="127">
        <f>R13+R14+R15+R16</f>
        <v>11832840</v>
      </c>
      <c r="S12" s="32">
        <f>S13+S14+S15+S16</f>
        <v>9753124.0599999987</v>
      </c>
      <c r="T12" s="21">
        <f t="shared" si="6"/>
        <v>82.424202980856649</v>
      </c>
      <c r="U12" s="148">
        <f t="shared" si="7"/>
        <v>21.922332499315285</v>
      </c>
      <c r="V12" s="150">
        <f t="shared" si="8"/>
        <v>-2079715.9400000013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t="shared" ref="D13:E15" si="11">K13+R13</f>
        <v>361971</v>
      </c>
      <c r="E13" s="35">
        <f t="shared" si="11"/>
        <v>312855.83</v>
      </c>
      <c r="F13" s="163">
        <f t="shared" si="1"/>
        <v>86.431186476264671</v>
      </c>
      <c r="G13" s="163">
        <f t="shared" si="2"/>
        <v>6.4848260799360933</v>
      </c>
      <c r="H13" s="164">
        <f t="shared" si="3"/>
        <v>-49115.169999999984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361971</v>
      </c>
      <c r="S13" s="91">
        <v>312855.83</v>
      </c>
      <c r="T13" s="159">
        <f t="shared" si="6"/>
        <v>86.431186476264671</v>
      </c>
      <c r="U13" s="160">
        <f t="shared" si="7"/>
        <v>6.4848260799360933</v>
      </c>
      <c r="V13" s="161">
        <f t="shared" si="8"/>
        <v>-49115.169999999984</v>
      </c>
    </row>
    <row r="14" spans="1:22" ht="16.5">
      <c r="A14" s="15" t="s">
        <v>5</v>
      </c>
      <c r="B14" s="98">
        <f>I14+P14</f>
        <v>23568001</v>
      </c>
      <c r="C14" s="50">
        <f t="shared" si="0"/>
        <v>23758001</v>
      </c>
      <c r="D14" s="54">
        <f t="shared" si="11"/>
        <v>8677861</v>
      </c>
      <c r="E14" s="35">
        <f t="shared" si="11"/>
        <v>6873470.2599999998</v>
      </c>
      <c r="F14" s="163">
        <f t="shared" si="1"/>
        <v>79.206964250752577</v>
      </c>
      <c r="G14" s="163">
        <f t="shared" si="2"/>
        <v>28.931180952471546</v>
      </c>
      <c r="H14" s="164">
        <f t="shared" si="3"/>
        <v>-1804390.7400000002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23758001</v>
      </c>
      <c r="R14" s="126">
        <v>8677861</v>
      </c>
      <c r="S14" s="91">
        <v>6873470.2599999998</v>
      </c>
      <c r="T14" s="159">
        <f t="shared" si="6"/>
        <v>79.206964250752577</v>
      </c>
      <c r="U14" s="160">
        <f t="shared" si="7"/>
        <v>28.931180952471546</v>
      </c>
      <c r="V14" s="161">
        <f t="shared" si="8"/>
        <v>-1804390.7400000002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5641851</v>
      </c>
      <c r="E16" s="34">
        <f>E17+E18</f>
        <v>5133593.05</v>
      </c>
      <c r="F16" s="162">
        <f t="shared" si="1"/>
        <v>90.991290801547223</v>
      </c>
      <c r="G16" s="162">
        <f t="shared" si="2"/>
        <v>15.878733309885549</v>
      </c>
      <c r="H16" s="51">
        <f t="shared" si="3"/>
        <v>-508257.95000000019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2566795.08</v>
      </c>
      <c r="M16" s="156">
        <f t="shared" si="4"/>
        <v>90.099562524154535</v>
      </c>
      <c r="N16" s="25">
        <f>L16/J16*100</f>
        <v>15.629293253549175</v>
      </c>
      <c r="O16" s="157">
        <f t="shared" si="5"/>
        <v>-282047.91999999993</v>
      </c>
      <c r="P16" s="103">
        <f>P17+P18</f>
        <v>15907015</v>
      </c>
      <c r="Q16" s="41">
        <f>Q17+Q18</f>
        <v>15907015</v>
      </c>
      <c r="R16" s="127">
        <f>R17+R18</f>
        <v>2793008</v>
      </c>
      <c r="S16" s="32">
        <f>S17+S18</f>
        <v>2566797.9699999997</v>
      </c>
      <c r="T16" s="21">
        <f t="shared" si="6"/>
        <v>91.900845611612993</v>
      </c>
      <c r="U16" s="148">
        <f t="shared" si="7"/>
        <v>16.136264220534148</v>
      </c>
      <c r="V16" s="150">
        <f t="shared" si="8"/>
        <v>-226210.03000000026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t="shared" ref="D17:E20" si="12">K17+R17</f>
        <v>2769811</v>
      </c>
      <c r="E17" s="35">
        <f t="shared" si="12"/>
        <v>2707485.26</v>
      </c>
      <c r="F17" s="163">
        <f t="shared" si="1"/>
        <v>97.749819753044505</v>
      </c>
      <c r="G17" s="163">
        <f t="shared" si="2"/>
        <v>62.522593351993606</v>
      </c>
      <c r="H17" s="164">
        <f t="shared" si="3"/>
        <v>-62325.740000000224</v>
      </c>
      <c r="I17" s="109">
        <v>2026000</v>
      </c>
      <c r="J17" s="117">
        <v>2026000</v>
      </c>
      <c r="K17" s="132">
        <v>1337160</v>
      </c>
      <c r="L17" s="91">
        <v>1353742.48</v>
      </c>
      <c r="M17" s="156">
        <f t="shared" si="4"/>
        <v>101.24012683598073</v>
      </c>
      <c r="N17" s="25">
        <f t="shared" ref="N17:N37" si="13">L17/J17*100</f>
        <v>66.818483711747291</v>
      </c>
      <c r="O17" s="158">
        <f t="shared" si="5"/>
        <v>16582.479999999981</v>
      </c>
      <c r="P17" s="104">
        <v>2304411</v>
      </c>
      <c r="Q17" s="42">
        <v>2304411</v>
      </c>
      <c r="R17" s="126">
        <v>1432651</v>
      </c>
      <c r="S17" s="91">
        <v>1353742.78</v>
      </c>
      <c r="T17" s="159">
        <f t="shared" si="6"/>
        <v>94.492153357656534</v>
      </c>
      <c r="U17" s="160">
        <f t="shared" si="7"/>
        <v>58.745717669287288</v>
      </c>
      <c r="V17" s="161">
        <f t="shared" si="8"/>
        <v>-78908.219999999972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2872040</v>
      </c>
      <c r="E18" s="35">
        <f t="shared" si="12"/>
        <v>2426107.79</v>
      </c>
      <c r="F18" s="163">
        <f t="shared" si="1"/>
        <v>84.473328714084758</v>
      </c>
      <c r="G18" s="163">
        <f t="shared" si="2"/>
        <v>8.6648006505811885</v>
      </c>
      <c r="H18" s="164">
        <f t="shared" si="3"/>
        <v>-445932.20999999996</v>
      </c>
      <c r="I18" s="109">
        <v>14396976</v>
      </c>
      <c r="J18" s="117">
        <v>14396976</v>
      </c>
      <c r="K18" s="84">
        <v>1511683</v>
      </c>
      <c r="L18" s="91">
        <v>1213052.6000000001</v>
      </c>
      <c r="M18" s="156">
        <f t="shared" si="4"/>
        <v>80.245170449095482</v>
      </c>
      <c r="N18" s="25">
        <f t="shared" si="13"/>
        <v>8.4257457955059465</v>
      </c>
      <c r="O18" s="158">
        <f t="shared" si="5"/>
        <v>-298630.39999999991</v>
      </c>
      <c r="P18" s="104">
        <v>13602604</v>
      </c>
      <c r="Q18" s="42">
        <v>13602604</v>
      </c>
      <c r="R18" s="126">
        <v>1360357</v>
      </c>
      <c r="S18" s="91">
        <v>1213055.19</v>
      </c>
      <c r="T18" s="159">
        <f t="shared" si="6"/>
        <v>89.171826954248033</v>
      </c>
      <c r="U18" s="160">
        <f t="shared" si="7"/>
        <v>8.9178159564154029</v>
      </c>
      <c r="V18" s="161">
        <f t="shared" si="8"/>
        <v>-147301.81000000006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731839</v>
      </c>
      <c r="E19" s="34">
        <f t="shared" si="12"/>
        <v>603625.51</v>
      </c>
      <c r="F19" s="162">
        <f t="shared" si="1"/>
        <v>82.480642600353363</v>
      </c>
      <c r="G19" s="162">
        <f t="shared" si="2"/>
        <v>41.579192408605067</v>
      </c>
      <c r="H19" s="51">
        <f t="shared" si="3"/>
        <v>-128213.48999999999</v>
      </c>
      <c r="I19" s="30">
        <v>942066</v>
      </c>
      <c r="J19" s="116">
        <v>942066</v>
      </c>
      <c r="K19" s="73">
        <v>482904</v>
      </c>
      <c r="L19" s="81">
        <v>430193.51</v>
      </c>
      <c r="M19" s="156">
        <f t="shared" si="4"/>
        <v>89.084685568974379</v>
      </c>
      <c r="N19" s="25">
        <f t="shared" si="13"/>
        <v>45.664901397566624</v>
      </c>
      <c r="O19" s="157">
        <f t="shared" si="5"/>
        <v>-52710.489999999991</v>
      </c>
      <c r="P19" s="103">
        <v>509683</v>
      </c>
      <c r="Q19" s="41">
        <v>509683</v>
      </c>
      <c r="R19" s="96">
        <v>248935</v>
      </c>
      <c r="S19" s="81">
        <v>173432</v>
      </c>
      <c r="T19" s="21">
        <f t="shared" si="6"/>
        <v>69.669592463896208</v>
      </c>
      <c r="U19" s="148">
        <f t="shared" si="7"/>
        <v>34.027424889588239</v>
      </c>
      <c r="V19" s="150">
        <f t="shared" si="8"/>
        <v>-75503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33598552</v>
      </c>
      <c r="E21" s="36">
        <f>E22+E23+E24+E25+E26</f>
        <v>19539365.589999996</v>
      </c>
      <c r="F21" s="162">
        <f t="shared" si="1"/>
        <v>58.155379999709503</v>
      </c>
      <c r="G21" s="162">
        <f t="shared" si="2"/>
        <v>28.69111816162842</v>
      </c>
      <c r="H21" s="166">
        <f t="shared" si="3"/>
        <v>-14059186.410000004</v>
      </c>
      <c r="I21" s="110">
        <f>I22+I23+I24+I25+I26</f>
        <v>33090058</v>
      </c>
      <c r="J21" s="118">
        <f>J22+J23+J24+J25+J26</f>
        <v>39890848</v>
      </c>
      <c r="K21" s="86">
        <f>K22+K23+K24+K25+K26</f>
        <v>23241811</v>
      </c>
      <c r="L21" s="67">
        <f>L22+L23+L24+L25+L26</f>
        <v>18457367.57</v>
      </c>
      <c r="M21" s="156">
        <f t="shared" si="4"/>
        <v>79.414498164536312</v>
      </c>
      <c r="N21" s="25">
        <f t="shared" si="13"/>
        <v>46.269679626765523</v>
      </c>
      <c r="O21" s="157">
        <f t="shared" si="5"/>
        <v>-4784443.43</v>
      </c>
      <c r="P21" s="105">
        <f>P22+P23+P24+P25+P26</f>
        <v>36024286</v>
      </c>
      <c r="Q21" s="133">
        <f>Q22+Q23+Q25+Q24</f>
        <v>28211641</v>
      </c>
      <c r="R21" s="135">
        <f>R22+R23+R25+R24</f>
        <v>10356741</v>
      </c>
      <c r="S21" s="134">
        <f>S22+S23+S25+S24</f>
        <v>1081998.02</v>
      </c>
      <c r="T21" s="21">
        <f t="shared" si="6"/>
        <v>10.447282789054974</v>
      </c>
      <c r="U21" s="148">
        <f t="shared" si="7"/>
        <v>3.8352891985262398</v>
      </c>
      <c r="V21" s="150">
        <f t="shared" si="8"/>
        <v>-9274742.9800000004</v>
      </c>
    </row>
    <row r="22" spans="1:22" ht="16.5">
      <c r="A22" s="15" t="s">
        <v>12</v>
      </c>
      <c r="B22" s="98">
        <f t="shared" ref="B22:B28" si="14">I22+P22</f>
        <v>65254940</v>
      </c>
      <c r="C22" s="50">
        <f t="shared" si="0"/>
        <v>64324185</v>
      </c>
      <c r="D22" s="54">
        <f t="shared" ref="D22:E28" si="15">K22+R22</f>
        <v>31809665</v>
      </c>
      <c r="E22" s="35">
        <f t="shared" si="15"/>
        <v>18188083.899999999</v>
      </c>
      <c r="F22" s="163">
        <f t="shared" si="1"/>
        <v>57.177854277937222</v>
      </c>
      <c r="G22" s="163">
        <f t="shared" si="2"/>
        <v>28.27565386176288</v>
      </c>
      <c r="H22" s="167">
        <f t="shared" si="3"/>
        <v>-13621581.100000001</v>
      </c>
      <c r="I22" s="109">
        <f>32556323+121365</f>
        <v>32677688</v>
      </c>
      <c r="J22" s="117">
        <f>39438213+121365</f>
        <v>39559578</v>
      </c>
      <c r="K22" s="84">
        <f>23050540+60000</f>
        <v>23110540</v>
      </c>
      <c r="L22" s="66">
        <f>18149866.5+38159.86</f>
        <v>18188026.359999999</v>
      </c>
      <c r="M22" s="156">
        <f t="shared" si="4"/>
        <v>78.700135782201542</v>
      </c>
      <c r="N22" s="25">
        <f t="shared" si="13"/>
        <v>45.97629014141657</v>
      </c>
      <c r="O22" s="158">
        <f t="shared" si="5"/>
        <v>-4922513.6400000006</v>
      </c>
      <c r="P22" s="104">
        <f>32556252+21000</f>
        <v>32577252</v>
      </c>
      <c r="Q22" s="42">
        <f>24743607+21000</f>
        <v>24764607</v>
      </c>
      <c r="R22" s="125">
        <f>8688625+10500</f>
        <v>8699125</v>
      </c>
      <c r="S22" s="66">
        <v>57.54</v>
      </c>
      <c r="T22" s="159">
        <f t="shared" si="6"/>
        <v>6.6144583506961901E-4</v>
      </c>
      <c r="U22" s="160">
        <f t="shared" si="7"/>
        <v>2.323477210843685E-4</v>
      </c>
      <c r="V22" s="161">
        <f t="shared" si="8"/>
        <v>-8699067.4600000009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1607675</v>
      </c>
      <c r="E23" s="37">
        <f t="shared" si="15"/>
        <v>1228383.99</v>
      </c>
      <c r="F23" s="163">
        <f t="shared" si="1"/>
        <v>76.407482233660403</v>
      </c>
      <c r="G23" s="163">
        <f t="shared" si="2"/>
        <v>36.88196207149381</v>
      </c>
      <c r="H23" s="164">
        <f t="shared" si="3"/>
        <v>-379291.01</v>
      </c>
      <c r="I23" s="111">
        <v>412370</v>
      </c>
      <c r="J23" s="119">
        <v>331270</v>
      </c>
      <c r="K23" s="87">
        <v>131271</v>
      </c>
      <c r="L23" s="92">
        <v>197761.3</v>
      </c>
      <c r="M23" s="156">
        <f t="shared" si="4"/>
        <v>150.65117200295569</v>
      </c>
      <c r="N23" s="25">
        <f t="shared" si="13"/>
        <v>59.697920125577319</v>
      </c>
      <c r="O23" s="158">
        <f t="shared" si="5"/>
        <v>66490.299999999988</v>
      </c>
      <c r="P23" s="106">
        <v>2999312</v>
      </c>
      <c r="Q23" s="42">
        <v>2999312</v>
      </c>
      <c r="R23" s="128">
        <v>1476404</v>
      </c>
      <c r="S23" s="92">
        <v>1030622.69</v>
      </c>
      <c r="T23" s="159">
        <f t="shared" si="6"/>
        <v>69.806278633761494</v>
      </c>
      <c r="U23" s="160">
        <f t="shared" si="7"/>
        <v>34.361970011789367</v>
      </c>
      <c r="V23" s="161">
        <f t="shared" si="8"/>
        <v>-445781.31000000006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181212</v>
      </c>
      <c r="E25" s="37">
        <f t="shared" si="15"/>
        <v>114497.70000000001</v>
      </c>
      <c r="F25" s="163">
        <f t="shared" si="1"/>
        <v>63.184391762134965</v>
      </c>
      <c r="G25" s="163">
        <f t="shared" si="2"/>
        <v>25.573391524204752</v>
      </c>
      <c r="H25" s="164">
        <f t="shared" si="3"/>
        <v>-66714.299999999988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181212</v>
      </c>
      <c r="S25" s="92">
        <v>42917.79</v>
      </c>
      <c r="T25" s="159">
        <f t="shared" si="6"/>
        <v>23.683746109529171</v>
      </c>
      <c r="U25" s="160">
        <f t="shared" si="7"/>
        <v>9.585812178092656</v>
      </c>
      <c r="V25" s="161">
        <f t="shared" si="8"/>
        <v>-138294.21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2958203.1</v>
      </c>
      <c r="F27" s="162">
        <f t="shared" si="1"/>
        <v>99.007751393142229</v>
      </c>
      <c r="G27" s="162">
        <f t="shared" si="2"/>
        <v>72.681337067885309</v>
      </c>
      <c r="H27" s="51">
        <f t="shared" si="3"/>
        <v>-29646.899999999907</v>
      </c>
      <c r="I27" s="112">
        <v>4070100</v>
      </c>
      <c r="J27" s="138">
        <v>4070100</v>
      </c>
      <c r="K27" s="93">
        <v>2987850</v>
      </c>
      <c r="L27" s="81">
        <v>2958203.1</v>
      </c>
      <c r="M27" s="156">
        <f t="shared" si="4"/>
        <v>99.007751393142229</v>
      </c>
      <c r="N27" s="25">
        <f t="shared" si="13"/>
        <v>72.681337067885309</v>
      </c>
      <c r="O27" s="157">
        <f t="shared" si="5"/>
        <v>-29646.899999999907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31192.78</v>
      </c>
      <c r="F28" s="162">
        <f t="shared" si="1"/>
        <v>108.03438920985376</v>
      </c>
      <c r="G28" s="162">
        <f t="shared" si="2"/>
        <v>108.03438920985376</v>
      </c>
      <c r="H28" s="51">
        <f t="shared" si="3"/>
        <v>2319.7699999999968</v>
      </c>
      <c r="I28" s="103">
        <v>21260</v>
      </c>
      <c r="J28" s="120">
        <v>21260</v>
      </c>
      <c r="K28" s="76">
        <v>21260</v>
      </c>
      <c r="L28" s="81">
        <v>21505.599999999999</v>
      </c>
      <c r="M28" s="156">
        <f t="shared" si="4"/>
        <v>101.15522107243649</v>
      </c>
      <c r="N28" s="25">
        <f t="shared" si="13"/>
        <v>101.15522107243649</v>
      </c>
      <c r="O28" s="157">
        <f t="shared" si="5"/>
        <v>245.59999999999854</v>
      </c>
      <c r="P28" s="103">
        <v>0</v>
      </c>
      <c r="Q28" s="41">
        <v>7613.01</v>
      </c>
      <c r="R28" s="96">
        <v>7613.01</v>
      </c>
      <c r="S28" s="81">
        <v>9687.18</v>
      </c>
      <c r="T28" s="21">
        <f t="shared" si="6"/>
        <v>127.24507126616147</v>
      </c>
      <c r="U28" s="148">
        <f t="shared" si="7"/>
        <v>127.24507126616147</v>
      </c>
      <c r="V28" s="150">
        <f t="shared" si="8"/>
        <v>2074.17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9106340</v>
      </c>
      <c r="D29" s="60">
        <f>D30+D31</f>
        <v>7371400</v>
      </c>
      <c r="E29" s="38">
        <f>E30+E31</f>
        <v>7603759.7599999998</v>
      </c>
      <c r="F29" s="162">
        <f t="shared" si="1"/>
        <v>103.15217950457172</v>
      </c>
      <c r="G29" s="162">
        <f t="shared" si="2"/>
        <v>83.499625096361427</v>
      </c>
      <c r="H29" s="51">
        <f t="shared" si="3"/>
        <v>232359.75999999978</v>
      </c>
      <c r="I29" s="113">
        <f>I30+I31</f>
        <v>3337900</v>
      </c>
      <c r="J29" s="121">
        <f>J30+J31</f>
        <v>5462340</v>
      </c>
      <c r="K29" s="88">
        <f>K30+K31</f>
        <v>5459590</v>
      </c>
      <c r="L29" s="69">
        <f>L30+L31</f>
        <v>6586834.2400000002</v>
      </c>
      <c r="M29" s="156">
        <f t="shared" si="4"/>
        <v>120.64704932055339</v>
      </c>
      <c r="N29" s="25">
        <f t="shared" si="13"/>
        <v>120.58630989649126</v>
      </c>
      <c r="O29" s="157">
        <f t="shared" si="5"/>
        <v>1127244.2400000002</v>
      </c>
      <c r="P29" s="107">
        <f>P30+P31</f>
        <v>3932350</v>
      </c>
      <c r="Q29" s="41">
        <f>Q30+Q31</f>
        <v>3644000</v>
      </c>
      <c r="R29" s="130">
        <f>R30+R31</f>
        <v>1911810</v>
      </c>
      <c r="S29" s="69">
        <f>S30+S31</f>
        <v>1016925.52</v>
      </c>
      <c r="T29" s="21">
        <f t="shared" si="6"/>
        <v>53.191766964290387</v>
      </c>
      <c r="U29" s="148">
        <f t="shared" si="7"/>
        <v>27.906847420417126</v>
      </c>
      <c r="V29" s="150">
        <f t="shared" si="8"/>
        <v>-894884.48</v>
      </c>
    </row>
    <row r="30" spans="1:22" ht="16.5">
      <c r="A30" s="15" t="s">
        <v>14</v>
      </c>
      <c r="B30" s="98">
        <f>I30+P30</f>
        <v>650000</v>
      </c>
      <c r="C30" s="50">
        <f t="shared" si="0"/>
        <v>1321100</v>
      </c>
      <c r="D30" s="54">
        <f t="shared" ref="D30:E32" si="16">K30+R30</f>
        <v>1296100</v>
      </c>
      <c r="E30" s="35">
        <f t="shared" si="16"/>
        <v>1796064.31</v>
      </c>
      <c r="F30" s="163">
        <f t="shared" si="1"/>
        <v>138.5745166268035</v>
      </c>
      <c r="G30" s="163">
        <f t="shared" si="2"/>
        <v>135.95218454318371</v>
      </c>
      <c r="H30" s="164">
        <f t="shared" si="3"/>
        <v>499964.31000000006</v>
      </c>
      <c r="I30" s="109">
        <v>570000</v>
      </c>
      <c r="J30" s="117">
        <v>651100</v>
      </c>
      <c r="K30" s="84">
        <v>651100</v>
      </c>
      <c r="L30" s="91">
        <v>966648.31</v>
      </c>
      <c r="M30" s="156">
        <f t="shared" si="4"/>
        <v>148.4638780525265</v>
      </c>
      <c r="N30" s="25">
        <f t="shared" si="13"/>
        <v>148.4638780525265</v>
      </c>
      <c r="O30" s="158">
        <f t="shared" si="5"/>
        <v>315548.31000000006</v>
      </c>
      <c r="P30" s="104">
        <v>80000</v>
      </c>
      <c r="Q30" s="42">
        <v>670000</v>
      </c>
      <c r="R30" s="126">
        <v>645000</v>
      </c>
      <c r="S30" s="91">
        <v>829416</v>
      </c>
      <c r="T30" s="159">
        <f t="shared" si="6"/>
        <v>128.59162790697673</v>
      </c>
      <c r="U30" s="160">
        <f t="shared" si="7"/>
        <v>123.79343283582089</v>
      </c>
      <c r="V30" s="161">
        <f t="shared" si="8"/>
        <v>184416</v>
      </c>
    </row>
    <row r="31" spans="1:22" ht="16.5">
      <c r="A31" s="15" t="s">
        <v>15</v>
      </c>
      <c r="B31" s="98">
        <f>I31+P31</f>
        <v>6620250</v>
      </c>
      <c r="C31" s="50">
        <f t="shared" si="0"/>
        <v>7785240</v>
      </c>
      <c r="D31" s="54">
        <f t="shared" si="16"/>
        <v>6075300</v>
      </c>
      <c r="E31" s="35">
        <f t="shared" si="16"/>
        <v>5807695.4499999993</v>
      </c>
      <c r="F31" s="163">
        <f t="shared" si="1"/>
        <v>95.595204352048441</v>
      </c>
      <c r="G31" s="163">
        <f t="shared" si="2"/>
        <v>74.59879785337381</v>
      </c>
      <c r="H31" s="164">
        <f t="shared" si="3"/>
        <v>-267604.55000000075</v>
      </c>
      <c r="I31" s="109">
        <v>2767900</v>
      </c>
      <c r="J31" s="117">
        <v>4811240</v>
      </c>
      <c r="K31" s="84">
        <v>4808490</v>
      </c>
      <c r="L31" s="91">
        <v>5620185.9299999997</v>
      </c>
      <c r="M31" s="156">
        <f t="shared" si="4"/>
        <v>116.88047453566503</v>
      </c>
      <c r="N31" s="25">
        <f t="shared" si="13"/>
        <v>116.8136682019604</v>
      </c>
      <c r="O31" s="158">
        <f t="shared" si="5"/>
        <v>811695.9299999997</v>
      </c>
      <c r="P31" s="104">
        <v>3852350</v>
      </c>
      <c r="Q31" s="42">
        <v>2974000</v>
      </c>
      <c r="R31" s="136">
        <v>1266810</v>
      </c>
      <c r="S31" s="91">
        <v>187509.52</v>
      </c>
      <c r="T31" s="159">
        <f t="shared" si="6"/>
        <v>14.801708227753174</v>
      </c>
      <c r="U31" s="160">
        <f t="shared" si="7"/>
        <v>6.3049603227975783</v>
      </c>
      <c r="V31" s="161">
        <f t="shared" si="8"/>
        <v>-1079300.48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139409</v>
      </c>
      <c r="E32" s="34">
        <f t="shared" si="16"/>
        <v>575076.92999999993</v>
      </c>
      <c r="F32" s="162">
        <f t="shared" si="1"/>
        <v>412.51061983085737</v>
      </c>
      <c r="G32" s="162">
        <f t="shared" si="2"/>
        <v>103.13745756237186</v>
      </c>
      <c r="H32" s="51">
        <f t="shared" si="3"/>
        <v>435667.92999999993</v>
      </c>
      <c r="I32" s="30">
        <v>557583</v>
      </c>
      <c r="J32" s="116">
        <v>557583</v>
      </c>
      <c r="K32" s="82">
        <v>139409</v>
      </c>
      <c r="L32" s="81">
        <v>543657.85</v>
      </c>
      <c r="M32" s="156">
        <f t="shared" si="4"/>
        <v>389.97328006082819</v>
      </c>
      <c r="N32" s="25">
        <f t="shared" si="13"/>
        <v>97.502587058787654</v>
      </c>
      <c r="O32" s="157">
        <f t="shared" si="5"/>
        <v>404248.85</v>
      </c>
      <c r="P32" s="103">
        <v>0</v>
      </c>
      <c r="Q32" s="41">
        <v>0</v>
      </c>
      <c r="R32" s="96">
        <v>0</v>
      </c>
      <c r="S32" s="81">
        <v>31419.08</v>
      </c>
      <c r="T32" s="21"/>
      <c r="U32" s="148"/>
      <c r="V32" s="150">
        <f t="shared" si="8"/>
        <v>31419.08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511512.6</v>
      </c>
      <c r="D33" s="47">
        <f>D34+D35+D36</f>
        <v>511512.6</v>
      </c>
      <c r="E33" s="34">
        <f>E34+E35+E36</f>
        <v>558373.37</v>
      </c>
      <c r="F33" s="162">
        <f t="shared" si="1"/>
        <v>109.16121518805207</v>
      </c>
      <c r="G33" s="162">
        <f t="shared" si="2"/>
        <v>109.16121518805207</v>
      </c>
      <c r="H33" s="51">
        <f t="shared" si="3"/>
        <v>46860.770000000019</v>
      </c>
      <c r="I33" s="30">
        <v>0</v>
      </c>
      <c r="J33" s="116">
        <v>0</v>
      </c>
      <c r="K33" s="82">
        <f>K34+K35+K36</f>
        <v>0</v>
      </c>
      <c r="L33" s="32">
        <f>L34+L35+L36</f>
        <v>2012.3400000000001</v>
      </c>
      <c r="M33" s="156"/>
      <c r="N33" s="25"/>
      <c r="O33" s="157">
        <f t="shared" si="5"/>
        <v>2012.3400000000001</v>
      </c>
      <c r="P33" s="103">
        <v>0</v>
      </c>
      <c r="Q33" s="41">
        <f>Q34+Q35+Q36</f>
        <v>511512.6</v>
      </c>
      <c r="R33" s="124">
        <f>R34+R35+R36</f>
        <v>511512.6</v>
      </c>
      <c r="S33" s="32">
        <f>S34+S35+S36</f>
        <v>556361.03</v>
      </c>
      <c r="T33" s="21">
        <f t="shared" si="6"/>
        <v>108.76780552424322</v>
      </c>
      <c r="U33" s="148">
        <f t="shared" si="7"/>
        <v>108.76780552424322</v>
      </c>
      <c r="V33" s="150">
        <f t="shared" si="8"/>
        <v>44848.430000000051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7">K34++R34</f>
        <v>0</v>
      </c>
      <c r="E34" s="35">
        <f t="shared" si="17"/>
        <v>812.34</v>
      </c>
      <c r="F34" s="163"/>
      <c r="G34" s="163"/>
      <c r="H34" s="164">
        <f t="shared" si="3"/>
        <v>812.34</v>
      </c>
      <c r="I34" s="109"/>
      <c r="J34" s="117"/>
      <c r="K34" s="84"/>
      <c r="L34" s="66">
        <v>812.34</v>
      </c>
      <c r="M34" s="156"/>
      <c r="N34" s="25"/>
      <c r="O34" s="158">
        <f t="shared" si="5"/>
        <v>812.34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511512.6</v>
      </c>
      <c r="D35" s="54">
        <f t="shared" si="17"/>
        <v>511512.6</v>
      </c>
      <c r="E35" s="35">
        <f t="shared" si="17"/>
        <v>557561.03</v>
      </c>
      <c r="F35" s="163">
        <f t="shared" si="1"/>
        <v>109.00240385085334</v>
      </c>
      <c r="G35" s="163">
        <f t="shared" si="2"/>
        <v>109.00240385085334</v>
      </c>
      <c r="H35" s="164">
        <f t="shared" si="3"/>
        <v>46048.430000000051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511512.6</v>
      </c>
      <c r="R35" s="126">
        <v>511512.6</v>
      </c>
      <c r="S35" s="91">
        <v>556361.03</v>
      </c>
      <c r="T35" s="159">
        <f t="shared" si="6"/>
        <v>108.76780552424322</v>
      </c>
      <c r="U35" s="160">
        <f t="shared" si="7"/>
        <v>108.76780552424322</v>
      </c>
      <c r="V35" s="161">
        <f t="shared" si="8"/>
        <v>44848.430000000051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269685830.61000001</v>
      </c>
      <c r="D37" s="62">
        <f>K37+R37</f>
        <v>122479506.72</v>
      </c>
      <c r="E37" s="39">
        <f>L37+S37</f>
        <v>93293333.930000007</v>
      </c>
      <c r="F37" s="162">
        <f t="shared" si="1"/>
        <v>76.170566348930194</v>
      </c>
      <c r="G37" s="162">
        <f t="shared" si="2"/>
        <v>34.593339115733528</v>
      </c>
      <c r="H37" s="166">
        <f t="shared" si="3"/>
        <v>-29186172.789999992</v>
      </c>
      <c r="I37" s="108">
        <f t="shared" ref="I37:S37" si="18">I5</f>
        <v>138568562</v>
      </c>
      <c r="J37" s="122">
        <f t="shared" si="18"/>
        <v>147493792</v>
      </c>
      <c r="K37" s="80">
        <f t="shared" si="18"/>
        <v>73156304</v>
      </c>
      <c r="L37" s="70">
        <f t="shared" si="18"/>
        <v>60217577.730000012</v>
      </c>
      <c r="M37" s="156">
        <f t="shared" si="4"/>
        <v>82.31358671427688</v>
      </c>
      <c r="N37" s="25">
        <f t="shared" si="13"/>
        <v>40.827194767627923</v>
      </c>
      <c r="O37" s="165">
        <f t="shared" si="5"/>
        <v>-12938726.269999988</v>
      </c>
      <c r="P37" s="108">
        <f t="shared" si="18"/>
        <v>123754900</v>
      </c>
      <c r="Q37" s="122">
        <f t="shared" si="18"/>
        <v>122192038.61</v>
      </c>
      <c r="R37" s="131">
        <f t="shared" si="18"/>
        <v>49323202.719999999</v>
      </c>
      <c r="S37" s="70">
        <f t="shared" si="18"/>
        <v>33075756.199999996</v>
      </c>
      <c r="T37" s="21">
        <f t="shared" si="6"/>
        <v>67.059222386197874</v>
      </c>
      <c r="U37" s="155">
        <f t="shared" si="7"/>
        <v>27.068667137609349</v>
      </c>
      <c r="V37" s="150">
        <f t="shared" si="8"/>
        <v>-16247446.520000003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A3:A4"/>
    <mergeCell ref="B3:G3"/>
    <mergeCell ref="I3:N3"/>
    <mergeCell ref="P3:V3"/>
    <mergeCell ref="A1:O2"/>
  </mergeCells>
  <pageMargins left="0.51181102362204722" right="0" top="0.74803149606299213" bottom="0" header="0.31496062992125984" footer="0.31496062992125984"/>
  <pageSetup paperSize="9" scale="67" fitToWidth="2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tabSelected="1" topLeftCell="A2" zoomScaleNormal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sqref="A1:H2"/>
    </sheetView>
  </sheetViews>
  <sheetFormatPr defaultRowHeight="12.75"/>
  <cols>
    <col min="1" max="1" width="54.28515625" customWidth="1"/>
    <col min="2" max="3" width="13.5703125" style="1" customWidth="1"/>
    <col min="4" max="4" width="14.7109375" customWidth="1"/>
    <col min="5" max="5" width="15.140625" customWidth="1"/>
    <col min="6" max="6" width="9.28515625" customWidth="1"/>
    <col min="7" max="7" width="8.85546875" customWidth="1"/>
    <col min="8" max="8" width="11.5703125" customWidth="1"/>
    <col min="9" max="9" width="13" hidden="1" customWidth="1"/>
    <col min="10" max="10" width="13.5703125" hidden="1" customWidth="1"/>
    <col min="11" max="11" width="14.42578125" hidden="1" customWidth="1"/>
    <col min="12" max="12" width="14.28515625" hidden="1" customWidth="1"/>
    <col min="13" max="13" width="8.42578125" hidden="1" customWidth="1"/>
    <col min="14" max="14" width="7.85546875" hidden="1" customWidth="1"/>
    <col min="15" max="15" width="12.140625" hidden="1" customWidth="1"/>
    <col min="16" max="17" width="13.7109375" hidden="1" customWidth="1"/>
    <col min="18" max="18" width="13.42578125" hidden="1" customWidth="1"/>
    <col min="19" max="19" width="13.7109375" hidden="1" customWidth="1"/>
    <col min="20" max="20" width="8.28515625" hidden="1" customWidth="1"/>
    <col min="21" max="21" width="7.85546875" hidden="1" customWidth="1"/>
    <col min="22" max="22" width="14.140625" hidden="1" customWidth="1"/>
  </cols>
  <sheetData>
    <row r="1" spans="1:22" ht="12.75" hidden="1" customHeight="1">
      <c r="A1" s="182" t="s">
        <v>60</v>
      </c>
      <c r="B1" s="182"/>
      <c r="C1" s="182"/>
      <c r="D1" s="182"/>
      <c r="E1" s="182"/>
      <c r="F1" s="182"/>
      <c r="G1" s="182"/>
      <c r="H1" s="182"/>
      <c r="I1" s="169"/>
      <c r="J1" s="169"/>
      <c r="K1" s="169"/>
      <c r="L1" s="169"/>
      <c r="M1" s="169"/>
      <c r="N1" s="169"/>
      <c r="O1" s="169"/>
    </row>
    <row r="2" spans="1:22" ht="20.25" customHeight="1" thickBot="1">
      <c r="A2" s="176"/>
      <c r="B2" s="176"/>
      <c r="C2" s="176"/>
      <c r="D2" s="176"/>
      <c r="E2" s="176"/>
      <c r="F2" s="176"/>
      <c r="G2" s="176"/>
      <c r="H2" s="176"/>
      <c r="I2" s="170"/>
      <c r="J2" s="170"/>
      <c r="K2" s="170"/>
      <c r="L2" s="170"/>
      <c r="M2" s="170"/>
      <c r="N2" s="170"/>
      <c r="O2" s="170"/>
      <c r="P2" s="137"/>
      <c r="Q2" s="137"/>
      <c r="R2" s="137"/>
      <c r="S2" s="137"/>
      <c r="T2" s="137"/>
      <c r="U2" s="137"/>
    </row>
    <row r="3" spans="1:22" ht="13.5" thickBot="1">
      <c r="A3" s="177" t="s">
        <v>0</v>
      </c>
      <c r="B3" s="171" t="s">
        <v>53</v>
      </c>
      <c r="C3" s="172"/>
      <c r="D3" s="172"/>
      <c r="E3" s="172"/>
      <c r="F3" s="172"/>
      <c r="G3" s="172"/>
      <c r="H3" s="140"/>
      <c r="I3" s="171" t="s">
        <v>31</v>
      </c>
      <c r="J3" s="172"/>
      <c r="K3" s="172"/>
      <c r="L3" s="172"/>
      <c r="M3" s="172"/>
      <c r="N3" s="172"/>
      <c r="O3" s="140"/>
      <c r="P3" s="173" t="s">
        <v>32</v>
      </c>
      <c r="Q3" s="174"/>
      <c r="R3" s="174"/>
      <c r="S3" s="174"/>
      <c r="T3" s="174"/>
      <c r="U3" s="174"/>
      <c r="V3" s="179"/>
    </row>
    <row r="4" spans="1:22" ht="74.25" customHeight="1">
      <c r="A4" s="178"/>
      <c r="B4" s="63" t="s">
        <v>39</v>
      </c>
      <c r="C4" s="8" t="s">
        <v>46</v>
      </c>
      <c r="D4" s="63" t="s">
        <v>57</v>
      </c>
      <c r="E4" s="10" t="s">
        <v>61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01/07.2015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01/07.2015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274059227.11000001</v>
      </c>
      <c r="D5" s="51">
        <f>D6+D8+D12+D19+D20+D21+D27+D28+D29+D32+D33+D7</f>
        <v>130747441.71000001</v>
      </c>
      <c r="E5" s="33">
        <f>E6+E8+E12+E19+E20+E21+E27+E28+E29+E32+E33+E7</f>
        <v>141809471.62</v>
      </c>
      <c r="F5" s="162">
        <f>E5/D5*100</f>
        <v>108.46060906838679</v>
      </c>
      <c r="G5" s="162">
        <f>E5/C5*100</f>
        <v>51.744096747044196</v>
      </c>
      <c r="H5" s="166">
        <f>E5-D5</f>
        <v>11062029.909999996</v>
      </c>
      <c r="I5" s="102">
        <f>I6+I8+I12+I19+I20+I21+I27+I28+I29+I32+I33+I7</f>
        <v>138568562</v>
      </c>
      <c r="J5" s="115">
        <f>J6+J8+J12+J19+J20+J21+J27+J28+J29+J32+J33+J7</f>
        <v>177758821.19</v>
      </c>
      <c r="K5" s="102">
        <f>K6+K8+K12+K19+K20+K21+K27+K28+K29+K32+K33+K7</f>
        <v>89121069.189999998</v>
      </c>
      <c r="L5" s="139">
        <f>L6+L8+L12+L19+L20+L21+L27+L28+L29+L32+L33+L7</f>
        <v>95649104.469999999</v>
      </c>
      <c r="M5" s="156">
        <f>L5/K5*100</f>
        <v>107.32490682543616</v>
      </c>
      <c r="N5" s="21">
        <f>L5/J5*100</f>
        <v>53.808358893066753</v>
      </c>
      <c r="O5" s="165">
        <f>L5-K5</f>
        <v>6528035.2800000012</v>
      </c>
      <c r="P5" s="102">
        <f>P6+P8+P12+P19+P20+P21+P27+P28+P29+P32+P33+P7</f>
        <v>123754900</v>
      </c>
      <c r="Q5" s="115">
        <f>Q6+Q8+Q12+Q19+Q20+Q21+Q27+Q28+Q29+Q32+Q33+Q7</f>
        <v>96300405.920000002</v>
      </c>
      <c r="R5" s="123">
        <f>R6+R8+R12+R19+R20+R21+R27+R28+R29+R32+R33+R7</f>
        <v>41626372.520000003</v>
      </c>
      <c r="S5" s="65">
        <f>S6+S8+S12+S19+S20+S21+S27+S28+S29+S32+S33+S7</f>
        <v>46160367.149999999</v>
      </c>
      <c r="T5" s="21">
        <f>S5/R5*100</f>
        <v>110.89212044076521</v>
      </c>
      <c r="U5" s="148">
        <f>S5/Q5*100</f>
        <v>47.933720225797359</v>
      </c>
      <c r="V5" s="150">
        <f>S5-R5</f>
        <v>4533994.6299999952</v>
      </c>
    </row>
    <row r="6" spans="1:22" ht="16.5">
      <c r="A6" s="14" t="s">
        <v>28</v>
      </c>
      <c r="B6" s="97">
        <f>I6+P6</f>
        <v>81162643</v>
      </c>
      <c r="C6" s="50">
        <f t="shared" ref="C6:C37" si="0">Q6+J6</f>
        <v>81162643</v>
      </c>
      <c r="D6" s="47">
        <f>K6+R6</f>
        <v>42084597.980000004</v>
      </c>
      <c r="E6" s="34">
        <f>L6+S6</f>
        <v>46110527.369999997</v>
      </c>
      <c r="F6" s="162">
        <f t="shared" ref="F6:F37" si="1">E6/D6*100</f>
        <v>109.56627741083152</v>
      </c>
      <c r="G6" s="162">
        <f t="shared" ref="G6:G37" si="2">E6/C6*100</f>
        <v>56.812501004926609</v>
      </c>
      <c r="H6" s="166">
        <f t="shared" ref="H6:H37" si="3">E6-D6</f>
        <v>4025929.3899999931</v>
      </c>
      <c r="I6" s="30">
        <v>59025769</v>
      </c>
      <c r="J6" s="116">
        <v>59025769</v>
      </c>
      <c r="K6" s="76">
        <v>30493954</v>
      </c>
      <c r="L6" s="81">
        <v>33658606.539999999</v>
      </c>
      <c r="M6" s="156">
        <f t="shared" ref="M6:M37" si="4">L6/K6*100</f>
        <v>110.37796718654458</v>
      </c>
      <c r="N6" s="21">
        <f>L6/J6*100</f>
        <v>57.023579887625012</v>
      </c>
      <c r="O6" s="115">
        <f t="shared" ref="O6:O37" si="5">L6-K6</f>
        <v>3164652.5399999991</v>
      </c>
      <c r="P6" s="103">
        <v>22136874</v>
      </c>
      <c r="Q6" s="41">
        <v>22136874</v>
      </c>
      <c r="R6" s="96">
        <v>11590643.98</v>
      </c>
      <c r="S6" s="81">
        <v>12451920.83</v>
      </c>
      <c r="T6" s="21">
        <f t="shared" ref="T6:T37" si="6">S6/R6*100</f>
        <v>107.43079376336775</v>
      </c>
      <c r="U6" s="148">
        <f t="shared" ref="U6:U37" si="7">S6/Q6*100</f>
        <v>56.24968019423158</v>
      </c>
      <c r="V6" s="150">
        <f t="shared" ref="V6:V37" si="8">S6-R6</f>
        <v>861276.84999999963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12713362.25</v>
      </c>
      <c r="E7" s="34">
        <f>L7+S7</f>
        <v>12795285.07</v>
      </c>
      <c r="F7" s="162">
        <f t="shared" si="1"/>
        <v>100.64438358940021</v>
      </c>
      <c r="G7" s="162">
        <f t="shared" si="2"/>
        <v>47.74324115168983</v>
      </c>
      <c r="H7" s="51">
        <f t="shared" si="3"/>
        <v>81922.820000000298</v>
      </c>
      <c r="I7" s="30">
        <v>11319566</v>
      </c>
      <c r="J7" s="116">
        <v>11319566</v>
      </c>
      <c r="K7" s="76">
        <v>5659784</v>
      </c>
      <c r="L7" s="81">
        <v>5341508.43</v>
      </c>
      <c r="M7" s="156">
        <f t="shared" si="4"/>
        <v>94.376542108320734</v>
      </c>
      <c r="N7" s="21">
        <f t="shared" ref="N7:N12" si="9">L7/J7*100</f>
        <v>47.188279391630381</v>
      </c>
      <c r="O7" s="157">
        <f t="shared" si="5"/>
        <v>-318275.5700000003</v>
      </c>
      <c r="P7" s="103">
        <v>15480636</v>
      </c>
      <c r="Q7" s="41">
        <v>15480636</v>
      </c>
      <c r="R7" s="96">
        <v>7053578.25</v>
      </c>
      <c r="S7" s="81">
        <v>7453776.6399999997</v>
      </c>
      <c r="T7" s="21">
        <f t="shared" si="6"/>
        <v>105.67369320670682</v>
      </c>
      <c r="U7" s="148">
        <f t="shared" si="7"/>
        <v>48.149033670192878</v>
      </c>
      <c r="V7" s="150">
        <f t="shared" si="8"/>
        <v>400198.38999999966</v>
      </c>
    </row>
    <row r="8" spans="1:22" ht="16.5">
      <c r="A8" s="14" t="s">
        <v>2</v>
      </c>
      <c r="B8" s="97">
        <f>B9+B11+B10</f>
        <v>11152910</v>
      </c>
      <c r="C8" s="50">
        <f t="shared" si="0"/>
        <v>17325772</v>
      </c>
      <c r="D8" s="47">
        <f>D9+D11+D10</f>
        <v>12009836</v>
      </c>
      <c r="E8" s="34">
        <f>E9+E11+E10</f>
        <v>12868691.580000002</v>
      </c>
      <c r="F8" s="162">
        <f t="shared" si="1"/>
        <v>107.15126817718412</v>
      </c>
      <c r="G8" s="162">
        <f t="shared" si="2"/>
        <v>74.274852399073481</v>
      </c>
      <c r="H8" s="51">
        <f t="shared" si="3"/>
        <v>858855.58000000194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5022712.5999999996</v>
      </c>
      <c r="M8" s="156">
        <f t="shared" si="4"/>
        <v>109.13391212598636</v>
      </c>
      <c r="N8" s="21">
        <f t="shared" si="9"/>
        <v>51.35023786243196</v>
      </c>
      <c r="O8" s="157">
        <f t="shared" si="5"/>
        <v>420373.59999999963</v>
      </c>
      <c r="P8" s="103">
        <f>P9+P11</f>
        <v>1371626</v>
      </c>
      <c r="Q8" s="41">
        <f>Q9+Q10+Q11</f>
        <v>7544488</v>
      </c>
      <c r="R8" s="124">
        <f>R9+R11</f>
        <v>7407497</v>
      </c>
      <c r="S8" s="32">
        <f>S9+S11</f>
        <v>7845978.9800000004</v>
      </c>
      <c r="T8" s="21">
        <f t="shared" si="6"/>
        <v>105.91943513443205</v>
      </c>
      <c r="U8" s="148">
        <f t="shared" si="7"/>
        <v>103.9961754859972</v>
      </c>
      <c r="V8" s="150">
        <f t="shared" si="8"/>
        <v>438481.98000000045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t="shared" ref="D9:E11" si="10">K9+R9</f>
        <v>4476530</v>
      </c>
      <c r="E9" s="35">
        <f t="shared" si="10"/>
        <v>4956118.3899999997</v>
      </c>
      <c r="F9" s="163">
        <f t="shared" si="1"/>
        <v>110.71339609027527</v>
      </c>
      <c r="G9" s="163">
        <f t="shared" si="2"/>
        <v>52.035295697468385</v>
      </c>
      <c r="H9" s="164">
        <f t="shared" si="3"/>
        <v>479588.38999999966</v>
      </c>
      <c r="I9" s="109">
        <v>9524532</v>
      </c>
      <c r="J9" s="117">
        <v>9524532</v>
      </c>
      <c r="K9" s="84">
        <v>4476530</v>
      </c>
      <c r="L9" s="91">
        <v>4956118.3899999997</v>
      </c>
      <c r="M9" s="156">
        <f t="shared" si="4"/>
        <v>110.71339609027527</v>
      </c>
      <c r="N9" s="21">
        <f t="shared" si="9"/>
        <v>52.035295697468385</v>
      </c>
      <c r="O9" s="158">
        <f t="shared" si="5"/>
        <v>479588.38999999966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66594.210000000006</v>
      </c>
      <c r="F10" s="163">
        <f t="shared" si="1"/>
        <v>52.932787002519696</v>
      </c>
      <c r="G10" s="163">
        <f t="shared" si="2"/>
        <v>25.937172836044127</v>
      </c>
      <c r="H10" s="164">
        <f t="shared" si="3"/>
        <v>-59214.789999999994</v>
      </c>
      <c r="I10" s="109">
        <v>256752</v>
      </c>
      <c r="J10" s="117">
        <v>256752</v>
      </c>
      <c r="K10" s="84">
        <v>125809</v>
      </c>
      <c r="L10" s="91">
        <v>66594.210000000006</v>
      </c>
      <c r="M10" s="156">
        <f t="shared" si="4"/>
        <v>52.932787002519696</v>
      </c>
      <c r="N10" s="21">
        <f t="shared" si="9"/>
        <v>25.937172836044127</v>
      </c>
      <c r="O10" s="158">
        <f t="shared" si="5"/>
        <v>-59214.789999999994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7544488</v>
      </c>
      <c r="D11" s="54">
        <f t="shared" si="10"/>
        <v>7407497</v>
      </c>
      <c r="E11" s="35">
        <f t="shared" si="10"/>
        <v>7845978.9800000004</v>
      </c>
      <c r="F11" s="163">
        <f t="shared" si="1"/>
        <v>105.91943513443205</v>
      </c>
      <c r="G11" s="163">
        <f t="shared" si="2"/>
        <v>103.9961754859972</v>
      </c>
      <c r="H11" s="164">
        <f t="shared" si="3"/>
        <v>438481.98000000045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7544488</v>
      </c>
      <c r="R11" s="126">
        <v>7407497</v>
      </c>
      <c r="S11" s="91">
        <v>7845978.9800000004</v>
      </c>
      <c r="T11" s="159">
        <f t="shared" si="6"/>
        <v>105.91943513443205</v>
      </c>
      <c r="U11" s="160">
        <f t="shared" si="7"/>
        <v>103.9961754859972</v>
      </c>
      <c r="V11" s="161">
        <f t="shared" si="8"/>
        <v>438481.98000000045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61416854.159999996</v>
      </c>
      <c r="D12" s="47">
        <f>D13+D14+D15+D16</f>
        <v>14588700.530000001</v>
      </c>
      <c r="E12" s="34">
        <f>E13+E14+E15+E16</f>
        <v>17783252.34</v>
      </c>
      <c r="F12" s="162">
        <f t="shared" si="1"/>
        <v>121.89743907232015</v>
      </c>
      <c r="G12" s="162">
        <f t="shared" si="2"/>
        <v>28.955003611340945</v>
      </c>
      <c r="H12" s="51">
        <f t="shared" si="3"/>
        <v>3194551.8099999987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3601779.04</v>
      </c>
      <c r="M12" s="156">
        <f t="shared" si="4"/>
        <v>126.42953788608217</v>
      </c>
      <c r="N12" s="21">
        <f t="shared" si="9"/>
        <v>21.931342041783413</v>
      </c>
      <c r="O12" s="157">
        <f t="shared" si="5"/>
        <v>752936.04</v>
      </c>
      <c r="P12" s="103">
        <f>P13+P14+P15+P16</f>
        <v>44299445</v>
      </c>
      <c r="Q12" s="41">
        <f>Q13+Q14+Q16</f>
        <v>44993878.159999996</v>
      </c>
      <c r="R12" s="127">
        <f>R13+R14+R15+R16</f>
        <v>11739857.530000001</v>
      </c>
      <c r="S12" s="32">
        <f>S13+S14+S15+S16</f>
        <v>14181473.300000001</v>
      </c>
      <c r="T12" s="21">
        <f t="shared" si="6"/>
        <v>120.79766099171734</v>
      </c>
      <c r="U12" s="148">
        <f t="shared" si="7"/>
        <v>31.518672939394389</v>
      </c>
      <c r="V12" s="150">
        <f t="shared" si="8"/>
        <v>2441615.7699999996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t="shared" ref="D13:E15" si="11">K13+R13</f>
        <v>395396.89</v>
      </c>
      <c r="E13" s="35">
        <f t="shared" si="11"/>
        <v>603179.84</v>
      </c>
      <c r="F13" s="163">
        <f t="shared" si="1"/>
        <v>152.55047656039983</v>
      </c>
      <c r="G13" s="163">
        <f t="shared" si="2"/>
        <v>12.502616164524341</v>
      </c>
      <c r="H13" s="164">
        <f t="shared" si="3"/>
        <v>207782.94999999995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395396.89</v>
      </c>
      <c r="S13" s="91">
        <v>603179.84</v>
      </c>
      <c r="T13" s="159">
        <f t="shared" si="6"/>
        <v>152.55047656039983</v>
      </c>
      <c r="U13" s="160">
        <f t="shared" si="7"/>
        <v>12.502616164524341</v>
      </c>
      <c r="V13" s="161">
        <f t="shared" si="8"/>
        <v>207782.94999999995</v>
      </c>
    </row>
    <row r="14" spans="1:22" ht="16.5">
      <c r="A14" s="15" t="s">
        <v>5</v>
      </c>
      <c r="B14" s="98">
        <f>I14+P14</f>
        <v>23568001</v>
      </c>
      <c r="C14" s="50">
        <f t="shared" si="0"/>
        <v>24237029.27</v>
      </c>
      <c r="D14" s="54">
        <f t="shared" si="11"/>
        <v>8373834.75</v>
      </c>
      <c r="E14" s="35">
        <f t="shared" si="11"/>
        <v>9976510.6600000001</v>
      </c>
      <c r="F14" s="163">
        <f t="shared" si="1"/>
        <v>119.1390916807858</v>
      </c>
      <c r="G14" s="163">
        <f t="shared" si="2"/>
        <v>41.162266830896968</v>
      </c>
      <c r="H14" s="164">
        <f t="shared" si="3"/>
        <v>1602675.9100000001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24237029.27</v>
      </c>
      <c r="R14" s="126">
        <v>8373834.75</v>
      </c>
      <c r="S14" s="91">
        <v>9976510.6600000001</v>
      </c>
      <c r="T14" s="159">
        <f t="shared" si="6"/>
        <v>119.1390916807858</v>
      </c>
      <c r="U14" s="160">
        <f t="shared" si="7"/>
        <v>41.162266830896968</v>
      </c>
      <c r="V14" s="161">
        <f t="shared" si="8"/>
        <v>1602675.9100000001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32355395.890000001</v>
      </c>
      <c r="D16" s="47">
        <f>D17+D18</f>
        <v>5819468.8899999997</v>
      </c>
      <c r="E16" s="34">
        <f>E17+E18</f>
        <v>7203561.8399999999</v>
      </c>
      <c r="F16" s="162">
        <f t="shared" si="1"/>
        <v>123.78383622564569</v>
      </c>
      <c r="G16" s="162">
        <f t="shared" si="2"/>
        <v>22.263865552720329</v>
      </c>
      <c r="H16" s="51">
        <f t="shared" si="3"/>
        <v>1384092.9500000002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3601779.04</v>
      </c>
      <c r="M16" s="156">
        <f t="shared" si="4"/>
        <v>126.42953788608217</v>
      </c>
      <c r="N16" s="25">
        <f>L16/J16*100</f>
        <v>21.931342041783413</v>
      </c>
      <c r="O16" s="157">
        <f t="shared" si="5"/>
        <v>752936.04</v>
      </c>
      <c r="P16" s="103">
        <f>P17+P18</f>
        <v>15907015</v>
      </c>
      <c r="Q16" s="41">
        <f>Q17+Q18</f>
        <v>15932419.890000001</v>
      </c>
      <c r="R16" s="127">
        <f>R17+R18</f>
        <v>2970625.8899999997</v>
      </c>
      <c r="S16" s="32">
        <f>S17+S18</f>
        <v>3601782.8</v>
      </c>
      <c r="T16" s="21">
        <f t="shared" si="6"/>
        <v>121.24659695873048</v>
      </c>
      <c r="U16" s="148">
        <f t="shared" si="7"/>
        <v>22.60662739789241</v>
      </c>
      <c r="V16" s="150">
        <f t="shared" si="8"/>
        <v>631156.91000000015</v>
      </c>
    </row>
    <row r="17" spans="1:22" ht="16.5">
      <c r="A17" s="15" t="s">
        <v>8</v>
      </c>
      <c r="B17" s="98">
        <f>I17+P17</f>
        <v>4330411</v>
      </c>
      <c r="C17" s="50">
        <f t="shared" si="0"/>
        <v>4355815.8900000006</v>
      </c>
      <c r="D17" s="54">
        <f t="shared" ref="D17:E20" si="12">K17+R17</f>
        <v>2844479.8899999997</v>
      </c>
      <c r="E17" s="35">
        <f t="shared" si="12"/>
        <v>3199917.87</v>
      </c>
      <c r="F17" s="163">
        <f t="shared" si="1"/>
        <v>112.49571077122293</v>
      </c>
      <c r="G17" s="163">
        <f t="shared" si="2"/>
        <v>73.463111178466249</v>
      </c>
      <c r="H17" s="164">
        <f t="shared" si="3"/>
        <v>355437.98000000045</v>
      </c>
      <c r="I17" s="109">
        <v>2026000</v>
      </c>
      <c r="J17" s="117">
        <v>2026000</v>
      </c>
      <c r="K17" s="132">
        <v>1337160</v>
      </c>
      <c r="L17" s="91">
        <v>1599958.76</v>
      </c>
      <c r="M17" s="156">
        <f t="shared" si="4"/>
        <v>119.6535014508361</v>
      </c>
      <c r="N17" s="25">
        <f t="shared" ref="N17:N37" si="13">L17/J17*100</f>
        <v>78.971310957551822</v>
      </c>
      <c r="O17" s="158">
        <f t="shared" si="5"/>
        <v>262798.76</v>
      </c>
      <c r="P17" s="104">
        <v>2304411</v>
      </c>
      <c r="Q17" s="42">
        <v>2329815.89</v>
      </c>
      <c r="R17" s="126">
        <v>1507319.89</v>
      </c>
      <c r="S17" s="91">
        <v>1599959.11</v>
      </c>
      <c r="T17" s="159">
        <f t="shared" si="6"/>
        <v>106.145956184523</v>
      </c>
      <c r="U17" s="160">
        <f t="shared" si="7"/>
        <v>68.673199323058952</v>
      </c>
      <c r="V17" s="161">
        <f t="shared" si="8"/>
        <v>92639.220000000205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2974989</v>
      </c>
      <c r="E18" s="35">
        <f t="shared" si="12"/>
        <v>4003643.9699999997</v>
      </c>
      <c r="F18" s="163">
        <f t="shared" si="1"/>
        <v>134.57676549392284</v>
      </c>
      <c r="G18" s="163">
        <f t="shared" si="2"/>
        <v>14.298942948429941</v>
      </c>
      <c r="H18" s="164">
        <f t="shared" si="3"/>
        <v>1028654.9699999997</v>
      </c>
      <c r="I18" s="109">
        <v>14396976</v>
      </c>
      <c r="J18" s="117">
        <v>14396976</v>
      </c>
      <c r="K18" s="84">
        <v>1511683</v>
      </c>
      <c r="L18" s="91">
        <v>2001820.28</v>
      </c>
      <c r="M18" s="156">
        <f t="shared" si="4"/>
        <v>132.4232845113691</v>
      </c>
      <c r="N18" s="25">
        <f t="shared" si="13"/>
        <v>13.904449656650119</v>
      </c>
      <c r="O18" s="158">
        <f t="shared" si="5"/>
        <v>490137.28</v>
      </c>
      <c r="P18" s="104">
        <v>13602604</v>
      </c>
      <c r="Q18" s="42">
        <v>13602604</v>
      </c>
      <c r="R18" s="126">
        <v>1463306</v>
      </c>
      <c r="S18" s="91">
        <v>2001823.69</v>
      </c>
      <c r="T18" s="159">
        <f t="shared" si="6"/>
        <v>136.80144071028207</v>
      </c>
      <c r="U18" s="160">
        <f t="shared" si="7"/>
        <v>14.716474066289074</v>
      </c>
      <c r="V18" s="161">
        <f t="shared" si="8"/>
        <v>538517.68999999994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814477</v>
      </c>
      <c r="E19" s="34">
        <f t="shared" si="12"/>
        <v>858232.81</v>
      </c>
      <c r="F19" s="162">
        <f t="shared" si="1"/>
        <v>105.37225851681509</v>
      </c>
      <c r="G19" s="162">
        <f t="shared" si="2"/>
        <v>59.117162126510856</v>
      </c>
      <c r="H19" s="51">
        <f t="shared" si="3"/>
        <v>43755.810000000056</v>
      </c>
      <c r="I19" s="30">
        <v>942066</v>
      </c>
      <c r="J19" s="116">
        <v>942066</v>
      </c>
      <c r="K19" s="73">
        <v>594784</v>
      </c>
      <c r="L19" s="81">
        <v>594790.81000000006</v>
      </c>
      <c r="M19" s="156">
        <f t="shared" si="4"/>
        <v>100.0011449534621</v>
      </c>
      <c r="N19" s="25">
        <f t="shared" si="13"/>
        <v>63.136851345871733</v>
      </c>
      <c r="O19" s="157">
        <f t="shared" si="5"/>
        <v>6.8100000000558794</v>
      </c>
      <c r="P19" s="103">
        <v>509683</v>
      </c>
      <c r="Q19" s="41">
        <v>509683</v>
      </c>
      <c r="R19" s="96">
        <v>219693</v>
      </c>
      <c r="S19" s="81">
        <v>263442</v>
      </c>
      <c r="T19" s="21">
        <f t="shared" si="6"/>
        <v>119.91369775095247</v>
      </c>
      <c r="U19" s="148">
        <f t="shared" si="7"/>
        <v>51.687421397221414</v>
      </c>
      <c r="V19" s="150">
        <f t="shared" si="8"/>
        <v>43749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344.11</v>
      </c>
      <c r="F20" s="162"/>
      <c r="G20" s="162"/>
      <c r="H20" s="51">
        <f t="shared" si="3"/>
        <v>344.11</v>
      </c>
      <c r="I20" s="109">
        <v>0</v>
      </c>
      <c r="J20" s="117">
        <v>0</v>
      </c>
      <c r="K20" s="84">
        <v>0</v>
      </c>
      <c r="L20" s="81">
        <v>344.11</v>
      </c>
      <c r="M20" s="156"/>
      <c r="N20" s="25"/>
      <c r="O20" s="157">
        <f t="shared" si="5"/>
        <v>344.11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71123218.450000003</v>
      </c>
      <c r="D21" s="56">
        <f>D22+D23+D24+D25+D26</f>
        <v>35466103.450000003</v>
      </c>
      <c r="E21" s="36">
        <f>E22+E23+E24+E25+E26</f>
        <v>36245024.230000004</v>
      </c>
      <c r="F21" s="162">
        <f t="shared" si="1"/>
        <v>102.19624008343101</v>
      </c>
      <c r="G21" s="162">
        <f t="shared" si="2"/>
        <v>50.960888750388101</v>
      </c>
      <c r="H21" s="166">
        <f t="shared" si="3"/>
        <v>778920.78000000119</v>
      </c>
      <c r="I21" s="110">
        <f>I22+I23+I24+I25+I26</f>
        <v>33090058</v>
      </c>
      <c r="J21" s="118">
        <f>J22+J23+J24+J25+J26</f>
        <v>67694855</v>
      </c>
      <c r="K21" s="86">
        <f>K22+K23+K24+K25+K26</f>
        <v>33877484</v>
      </c>
      <c r="L21" s="67">
        <f>L22+L23+L24+L25+L26</f>
        <v>34709036.789999999</v>
      </c>
      <c r="M21" s="156">
        <f t="shared" si="4"/>
        <v>102.45458839269173</v>
      </c>
      <c r="N21" s="25">
        <f t="shared" si="13"/>
        <v>51.272784009951714</v>
      </c>
      <c r="O21" s="157">
        <f t="shared" si="5"/>
        <v>831552.78999999911</v>
      </c>
      <c r="P21" s="105">
        <f>P22+P23+P24+P25+P26</f>
        <v>36024286</v>
      </c>
      <c r="Q21" s="133">
        <f>Q22+Q23+Q25+Q24</f>
        <v>3428363.45</v>
      </c>
      <c r="R21" s="135">
        <f>R22+R23+R25+R24</f>
        <v>1588619.45</v>
      </c>
      <c r="S21" s="134">
        <f>S22+S23+S25+S24</f>
        <v>1535987.44</v>
      </c>
      <c r="T21" s="21">
        <f t="shared" si="6"/>
        <v>96.68693405459689</v>
      </c>
      <c r="U21" s="148">
        <f t="shared" si="7"/>
        <v>44.802351395969986</v>
      </c>
      <c r="V21" s="150">
        <f t="shared" si="8"/>
        <v>-52632.010000000009</v>
      </c>
    </row>
    <row r="22" spans="1:22" ht="16.5">
      <c r="A22" s="15" t="s">
        <v>12</v>
      </c>
      <c r="B22" s="98">
        <f t="shared" ref="B22:B28" si="14">I22+P22</f>
        <v>65254940</v>
      </c>
      <c r="C22" s="50">
        <f t="shared" si="0"/>
        <v>67384585</v>
      </c>
      <c r="D22" s="54">
        <f t="shared" ref="D22:E28" si="15">K22+R22</f>
        <v>33756713</v>
      </c>
      <c r="E22" s="35">
        <f t="shared" si="15"/>
        <v>34369163.410000004</v>
      </c>
      <c r="F22" s="163">
        <f t="shared" si="1"/>
        <v>101.81430700909773</v>
      </c>
      <c r="G22" s="163">
        <f t="shared" si="2"/>
        <v>51.00448924631651</v>
      </c>
      <c r="H22" s="167">
        <f t="shared" si="3"/>
        <v>612450.41000000387</v>
      </c>
      <c r="I22" s="109">
        <f>32556323+121365</f>
        <v>32677688</v>
      </c>
      <c r="J22" s="117">
        <v>67363585</v>
      </c>
      <c r="K22" s="84">
        <v>33746213</v>
      </c>
      <c r="L22" s="66">
        <v>34367530.840000004</v>
      </c>
      <c r="M22" s="156">
        <f t="shared" si="4"/>
        <v>101.84114833862989</v>
      </c>
      <c r="N22" s="25">
        <f t="shared" si="13"/>
        <v>51.017965923280364</v>
      </c>
      <c r="O22" s="158">
        <f t="shared" si="5"/>
        <v>621317.84000000358</v>
      </c>
      <c r="P22" s="104">
        <f>32556252+21000</f>
        <v>32577252</v>
      </c>
      <c r="Q22" s="42">
        <v>21000</v>
      </c>
      <c r="R22" s="125">
        <v>10500</v>
      </c>
      <c r="S22" s="66">
        <v>1632.57</v>
      </c>
      <c r="T22" s="159">
        <f t="shared" si="6"/>
        <v>15.548285714285715</v>
      </c>
      <c r="U22" s="160">
        <f t="shared" si="7"/>
        <v>7.7741428571428575</v>
      </c>
      <c r="V22" s="161">
        <f t="shared" si="8"/>
        <v>-8867.43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3290911.45</v>
      </c>
      <c r="D23" s="58">
        <f t="shared" si="15"/>
        <v>1554240.45</v>
      </c>
      <c r="E23" s="37">
        <f t="shared" si="15"/>
        <v>1733741.18</v>
      </c>
      <c r="F23" s="163">
        <f t="shared" si="1"/>
        <v>111.54909653779761</v>
      </c>
      <c r="G23" s="163">
        <f t="shared" si="2"/>
        <v>52.682705273033093</v>
      </c>
      <c r="H23" s="164">
        <f t="shared" si="3"/>
        <v>179500.72999999998</v>
      </c>
      <c r="I23" s="111">
        <v>412370</v>
      </c>
      <c r="J23" s="119">
        <v>331270</v>
      </c>
      <c r="K23" s="87">
        <v>131271</v>
      </c>
      <c r="L23" s="92">
        <v>269926.03999999998</v>
      </c>
      <c r="M23" s="156">
        <f t="shared" si="4"/>
        <v>205.625035232458</v>
      </c>
      <c r="N23" s="25">
        <f t="shared" si="13"/>
        <v>81.482186735895183</v>
      </c>
      <c r="O23" s="158">
        <f t="shared" si="5"/>
        <v>138655.03999999998</v>
      </c>
      <c r="P23" s="106">
        <v>2999312</v>
      </c>
      <c r="Q23" s="42">
        <f>2932848+26793.45</f>
        <v>2959641.45</v>
      </c>
      <c r="R23" s="128">
        <f>1396176+26793.45</f>
        <v>1422969.45</v>
      </c>
      <c r="S23" s="92">
        <f>1437021.69+26793.45</f>
        <v>1463815.14</v>
      </c>
      <c r="T23" s="159">
        <f t="shared" si="6"/>
        <v>102.87045445705105</v>
      </c>
      <c r="U23" s="160">
        <f t="shared" si="7"/>
        <v>49.459205269611282</v>
      </c>
      <c r="V23" s="161">
        <f t="shared" si="8"/>
        <v>40845.689999999944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155150</v>
      </c>
      <c r="E25" s="37">
        <f t="shared" si="15"/>
        <v>133719.64000000001</v>
      </c>
      <c r="F25" s="163">
        <f t="shared" si="1"/>
        <v>86.187328391878836</v>
      </c>
      <c r="G25" s="163">
        <f t="shared" si="2"/>
        <v>29.866667262274362</v>
      </c>
      <c r="H25" s="164">
        <f t="shared" si="3"/>
        <v>-21430.359999999986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155150</v>
      </c>
      <c r="S25" s="92">
        <v>62139.73</v>
      </c>
      <c r="T25" s="159">
        <f t="shared" si="6"/>
        <v>40.051388978407992</v>
      </c>
      <c r="U25" s="160">
        <f t="shared" si="7"/>
        <v>13.879087916162261</v>
      </c>
      <c r="V25" s="161">
        <f t="shared" si="8"/>
        <v>-93010.26999999999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3096690.14</v>
      </c>
      <c r="F27" s="162">
        <f t="shared" si="1"/>
        <v>103.64275783590206</v>
      </c>
      <c r="G27" s="162">
        <f t="shared" si="2"/>
        <v>76.083883442667258</v>
      </c>
      <c r="H27" s="51">
        <f t="shared" si="3"/>
        <v>108840.14000000013</v>
      </c>
      <c r="I27" s="112">
        <v>4070100</v>
      </c>
      <c r="J27" s="138">
        <v>4070100</v>
      </c>
      <c r="K27" s="93">
        <v>2987850</v>
      </c>
      <c r="L27" s="81">
        <v>3096690.14</v>
      </c>
      <c r="M27" s="156">
        <f t="shared" si="4"/>
        <v>103.64275783590206</v>
      </c>
      <c r="N27" s="25">
        <f t="shared" si="13"/>
        <v>76.083883442667258</v>
      </c>
      <c r="O27" s="157">
        <f t="shared" si="5"/>
        <v>108840.14000000013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253460.23</v>
      </c>
      <c r="D28" s="47">
        <f t="shared" si="15"/>
        <v>253460.23</v>
      </c>
      <c r="E28" s="34">
        <f t="shared" si="15"/>
        <v>400551.69999999995</v>
      </c>
      <c r="F28" s="162">
        <f t="shared" si="1"/>
        <v>158.0333530037434</v>
      </c>
      <c r="G28" s="162">
        <f t="shared" si="2"/>
        <v>158.0333530037434</v>
      </c>
      <c r="H28" s="51">
        <f t="shared" si="3"/>
        <v>147091.46999999994</v>
      </c>
      <c r="I28" s="103">
        <v>21260</v>
      </c>
      <c r="J28" s="120">
        <f>197022.19+21260</f>
        <v>218282.19</v>
      </c>
      <c r="K28" s="76">
        <f>197022.19+21260</f>
        <v>218282.19</v>
      </c>
      <c r="L28" s="81">
        <f>322284.45+41014.91</f>
        <v>363299.36</v>
      </c>
      <c r="M28" s="156">
        <f t="shared" si="4"/>
        <v>166.43564003091592</v>
      </c>
      <c r="N28" s="25">
        <f t="shared" si="13"/>
        <v>166.43564003091592</v>
      </c>
      <c r="O28" s="157">
        <f t="shared" si="5"/>
        <v>145017.16999999998</v>
      </c>
      <c r="P28" s="103">
        <v>0</v>
      </c>
      <c r="Q28" s="41">
        <v>35178.04</v>
      </c>
      <c r="R28" s="96">
        <v>35178.04</v>
      </c>
      <c r="S28" s="81">
        <v>37252.339999999997</v>
      </c>
      <c r="T28" s="21">
        <f t="shared" si="6"/>
        <v>105.89657638685952</v>
      </c>
      <c r="U28" s="148">
        <f t="shared" si="7"/>
        <v>105.89657638685952</v>
      </c>
      <c r="V28" s="150">
        <f t="shared" si="8"/>
        <v>2074.2999999999956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9370205.2699999996</v>
      </c>
      <c r="D29" s="60">
        <f>D30+D31</f>
        <v>9162205.2699999996</v>
      </c>
      <c r="E29" s="38">
        <f>E30+E31</f>
        <v>9999519.7100000009</v>
      </c>
      <c r="F29" s="162">
        <f t="shared" si="1"/>
        <v>109.1387871732326</v>
      </c>
      <c r="G29" s="162">
        <f t="shared" si="2"/>
        <v>106.71612223923033</v>
      </c>
      <c r="H29" s="51">
        <f t="shared" si="3"/>
        <v>837314.44000000134</v>
      </c>
      <c r="I29" s="113">
        <f>I30+I31</f>
        <v>3337900</v>
      </c>
      <c r="J29" s="121">
        <f>J30+J31</f>
        <v>7726340</v>
      </c>
      <c r="K29" s="88">
        <f>K30+K31</f>
        <v>7698340</v>
      </c>
      <c r="L29" s="69">
        <f>L30+L31</f>
        <v>8540231.7699999996</v>
      </c>
      <c r="M29" s="156">
        <f t="shared" si="4"/>
        <v>110.93601698547999</v>
      </c>
      <c r="N29" s="25">
        <f t="shared" si="13"/>
        <v>110.53398853791056</v>
      </c>
      <c r="O29" s="157">
        <f t="shared" si="5"/>
        <v>841891.76999999955</v>
      </c>
      <c r="P29" s="107">
        <f>P30+P31</f>
        <v>3932350</v>
      </c>
      <c r="Q29" s="41">
        <f>Q30+Q31</f>
        <v>1643865.27</v>
      </c>
      <c r="R29" s="130">
        <f>R30+R31</f>
        <v>1463865.27</v>
      </c>
      <c r="S29" s="69">
        <f>S30+S31</f>
        <v>1459287.94</v>
      </c>
      <c r="T29" s="21">
        <f t="shared" si="6"/>
        <v>99.687312070734478</v>
      </c>
      <c r="U29" s="148">
        <f t="shared" si="7"/>
        <v>88.771748307572679</v>
      </c>
      <c r="V29" s="150">
        <f t="shared" si="8"/>
        <v>-4577.3300000000745</v>
      </c>
    </row>
    <row r="30" spans="1:22" ht="16.5">
      <c r="A30" s="15" t="s">
        <v>14</v>
      </c>
      <c r="B30" s="98">
        <f>I30+P30</f>
        <v>650000</v>
      </c>
      <c r="C30" s="50">
        <f t="shared" si="0"/>
        <v>1385300</v>
      </c>
      <c r="D30" s="54">
        <f t="shared" ref="D30:E32" si="16">K30+R30</f>
        <v>1360300</v>
      </c>
      <c r="E30" s="35">
        <f t="shared" si="16"/>
        <v>2256261.91</v>
      </c>
      <c r="F30" s="163">
        <f t="shared" si="1"/>
        <v>165.86502315665663</v>
      </c>
      <c r="G30" s="163">
        <f t="shared" si="2"/>
        <v>162.87171803941385</v>
      </c>
      <c r="H30" s="164">
        <f t="shared" si="3"/>
        <v>895961.91000000015</v>
      </c>
      <c r="I30" s="109">
        <v>570000</v>
      </c>
      <c r="J30" s="117">
        <v>651100</v>
      </c>
      <c r="K30" s="84">
        <v>651100</v>
      </c>
      <c r="L30" s="91">
        <v>1386648.31</v>
      </c>
      <c r="M30" s="156">
        <f t="shared" si="4"/>
        <v>212.97009829519277</v>
      </c>
      <c r="N30" s="25">
        <f t="shared" si="13"/>
        <v>212.97009829519277</v>
      </c>
      <c r="O30" s="168">
        <f t="shared" si="5"/>
        <v>735548.31</v>
      </c>
      <c r="P30" s="104">
        <v>80000</v>
      </c>
      <c r="Q30" s="42">
        <v>734200</v>
      </c>
      <c r="R30" s="126">
        <v>709200</v>
      </c>
      <c r="S30" s="91">
        <v>869613.6</v>
      </c>
      <c r="T30" s="159">
        <f t="shared" si="6"/>
        <v>122.61895093062604</v>
      </c>
      <c r="U30" s="160">
        <f t="shared" si="7"/>
        <v>118.44369381639879</v>
      </c>
      <c r="V30" s="161">
        <f t="shared" si="8"/>
        <v>160413.59999999998</v>
      </c>
    </row>
    <row r="31" spans="1:22" ht="16.5">
      <c r="A31" s="15" t="s">
        <v>15</v>
      </c>
      <c r="B31" s="98">
        <f>I31+P31</f>
        <v>6620250</v>
      </c>
      <c r="C31" s="50">
        <f t="shared" si="0"/>
        <v>7984905.2699999996</v>
      </c>
      <c r="D31" s="54">
        <f t="shared" si="16"/>
        <v>7801905.2699999996</v>
      </c>
      <c r="E31" s="35">
        <f t="shared" si="16"/>
        <v>7743257.7999999998</v>
      </c>
      <c r="F31" s="163">
        <f t="shared" si="1"/>
        <v>99.248292974979947</v>
      </c>
      <c r="G31" s="163">
        <f t="shared" si="2"/>
        <v>96.973696470665843</v>
      </c>
      <c r="H31" s="164">
        <f t="shared" si="3"/>
        <v>-58647.469999999739</v>
      </c>
      <c r="I31" s="109">
        <v>2767900</v>
      </c>
      <c r="J31" s="117">
        <v>7075240</v>
      </c>
      <c r="K31" s="84">
        <v>7047240</v>
      </c>
      <c r="L31" s="91">
        <v>7153583.46</v>
      </c>
      <c r="M31" s="156">
        <f t="shared" si="4"/>
        <v>101.50900863316703</v>
      </c>
      <c r="N31" s="25">
        <f t="shared" si="13"/>
        <v>101.10729049473942</v>
      </c>
      <c r="O31" s="168">
        <f t="shared" si="5"/>
        <v>106343.45999999996</v>
      </c>
      <c r="P31" s="104">
        <v>3852350</v>
      </c>
      <c r="Q31" s="42">
        <v>909665.27</v>
      </c>
      <c r="R31" s="136">
        <v>754665.27</v>
      </c>
      <c r="S31" s="91">
        <v>589674.34</v>
      </c>
      <c r="T31" s="159">
        <f t="shared" si="6"/>
        <v>78.137203796326801</v>
      </c>
      <c r="U31" s="160">
        <f t="shared" si="7"/>
        <v>64.823222282631505</v>
      </c>
      <c r="V31" s="161">
        <f t="shared" si="8"/>
        <v>-164990.93000000005</v>
      </c>
    </row>
    <row r="32" spans="1:22" ht="16.5">
      <c r="A32" s="14" t="s">
        <v>16</v>
      </c>
      <c r="B32" s="97">
        <f>I32+P32</f>
        <v>557583</v>
      </c>
      <c r="C32" s="50">
        <f t="shared" si="0"/>
        <v>559583</v>
      </c>
      <c r="D32" s="47">
        <f t="shared" si="16"/>
        <v>141409</v>
      </c>
      <c r="E32" s="34">
        <f t="shared" si="16"/>
        <v>756546.17999999993</v>
      </c>
      <c r="F32" s="162">
        <f t="shared" si="1"/>
        <v>535.00567856359908</v>
      </c>
      <c r="G32" s="162">
        <f t="shared" si="2"/>
        <v>135.19820652164199</v>
      </c>
      <c r="H32" s="51">
        <f t="shared" si="3"/>
        <v>615137.17999999993</v>
      </c>
      <c r="I32" s="30">
        <v>557583</v>
      </c>
      <c r="J32" s="116">
        <v>557583</v>
      </c>
      <c r="K32" s="82">
        <v>139409</v>
      </c>
      <c r="L32" s="81">
        <v>717818.6</v>
      </c>
      <c r="M32" s="156">
        <f t="shared" si="4"/>
        <v>514.90119002359961</v>
      </c>
      <c r="N32" s="25">
        <f t="shared" si="13"/>
        <v>128.73753324617141</v>
      </c>
      <c r="O32" s="157">
        <f t="shared" si="5"/>
        <v>578409.6</v>
      </c>
      <c r="P32" s="103">
        <v>0</v>
      </c>
      <c r="Q32" s="41">
        <v>2000</v>
      </c>
      <c r="R32" s="96">
        <v>2000</v>
      </c>
      <c r="S32" s="81">
        <v>38727.58</v>
      </c>
      <c r="T32" s="21"/>
      <c r="U32" s="148"/>
      <c r="V32" s="150">
        <f t="shared" si="8"/>
        <v>36727.58</v>
      </c>
    </row>
    <row r="33" spans="1:22" ht="16.5">
      <c r="A33" s="14" t="s">
        <v>17</v>
      </c>
      <c r="B33" s="97">
        <f>B34+B35+B36</f>
        <v>0</v>
      </c>
      <c r="C33" s="50">
        <f t="shared" si="0"/>
        <v>525440</v>
      </c>
      <c r="D33" s="47">
        <f>D34+D35+D36</f>
        <v>525440</v>
      </c>
      <c r="E33" s="34">
        <f>E34+E35+E36</f>
        <v>894806.38</v>
      </c>
      <c r="F33" s="162">
        <f t="shared" si="1"/>
        <v>170.29658571863581</v>
      </c>
      <c r="G33" s="162">
        <f t="shared" si="2"/>
        <v>170.29658571863581</v>
      </c>
      <c r="H33" s="51">
        <f t="shared" si="3"/>
        <v>369366.38</v>
      </c>
      <c r="I33" s="30">
        <v>0</v>
      </c>
      <c r="J33" s="116">
        <v>0</v>
      </c>
      <c r="K33" s="82">
        <f>K34+K35+K36</f>
        <v>0</v>
      </c>
      <c r="L33" s="32">
        <f>L34+L35+L36</f>
        <v>2286.2799999999997</v>
      </c>
      <c r="M33" s="156"/>
      <c r="N33" s="25"/>
      <c r="O33" s="157">
        <f t="shared" si="5"/>
        <v>2286.2799999999997</v>
      </c>
      <c r="P33" s="103">
        <v>0</v>
      </c>
      <c r="Q33" s="41">
        <f>Q34+Q35+Q36</f>
        <v>525440</v>
      </c>
      <c r="R33" s="124">
        <f>R34+R35+R36</f>
        <v>525440</v>
      </c>
      <c r="S33" s="32">
        <f>S34+S35+S36</f>
        <v>892520.1</v>
      </c>
      <c r="T33" s="21">
        <f t="shared" si="6"/>
        <v>169.86146848355662</v>
      </c>
      <c r="U33" s="148">
        <f t="shared" si="7"/>
        <v>169.86146848355662</v>
      </c>
      <c r="V33" s="150">
        <f t="shared" si="8"/>
        <v>367080.1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t="shared" ref="D34:E36" si="17">K34++R34</f>
        <v>0</v>
      </c>
      <c r="E34" s="35">
        <f t="shared" si="17"/>
        <v>11277.28</v>
      </c>
      <c r="F34" s="163"/>
      <c r="G34" s="163"/>
      <c r="H34" s="164">
        <f t="shared" si="3"/>
        <v>11277.28</v>
      </c>
      <c r="I34" s="109"/>
      <c r="J34" s="117"/>
      <c r="K34" s="84"/>
      <c r="L34" s="66">
        <v>1086.28</v>
      </c>
      <c r="M34" s="156"/>
      <c r="N34" s="25"/>
      <c r="O34" s="158">
        <f t="shared" si="5"/>
        <v>1086.28</v>
      </c>
      <c r="P34" s="104">
        <v>0</v>
      </c>
      <c r="Q34" s="42">
        <f>P34</f>
        <v>0</v>
      </c>
      <c r="R34" s="125">
        <v>0</v>
      </c>
      <c r="S34" s="91">
        <v>10191</v>
      </c>
      <c r="T34" s="159"/>
      <c r="U34" s="160"/>
      <c r="V34" s="161">
        <f t="shared" si="8"/>
        <v>10191</v>
      </c>
    </row>
    <row r="35" spans="1:22" ht="16.5">
      <c r="A35" s="15" t="s">
        <v>19</v>
      </c>
      <c r="B35" s="98">
        <f>I35+P35</f>
        <v>0</v>
      </c>
      <c r="C35" s="50">
        <f t="shared" si="0"/>
        <v>525440</v>
      </c>
      <c r="D35" s="54">
        <f t="shared" si="17"/>
        <v>525440</v>
      </c>
      <c r="E35" s="35">
        <f t="shared" si="17"/>
        <v>883529.1</v>
      </c>
      <c r="F35" s="163">
        <f t="shared" si="1"/>
        <v>168.15033115103532</v>
      </c>
      <c r="G35" s="163">
        <f t="shared" si="2"/>
        <v>168.15033115103532</v>
      </c>
      <c r="H35" s="164">
        <f t="shared" si="3"/>
        <v>358089.1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525440</v>
      </c>
      <c r="R35" s="126">
        <v>525440</v>
      </c>
      <c r="S35" s="91">
        <v>882329.1</v>
      </c>
      <c r="T35" s="159">
        <f t="shared" si="6"/>
        <v>167.9219511266748</v>
      </c>
      <c r="U35" s="160">
        <f t="shared" si="7"/>
        <v>167.9219511266748</v>
      </c>
      <c r="V35" s="161">
        <f t="shared" si="8"/>
        <v>356889.1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274059227.11000001</v>
      </c>
      <c r="D37" s="62">
        <f>K37+R37</f>
        <v>130747441.71000001</v>
      </c>
      <c r="E37" s="39">
        <f>L37+S37</f>
        <v>141809471.62</v>
      </c>
      <c r="F37" s="162">
        <f t="shared" si="1"/>
        <v>108.46060906838679</v>
      </c>
      <c r="G37" s="162">
        <f t="shared" si="2"/>
        <v>51.744096747044196</v>
      </c>
      <c r="H37" s="166">
        <f t="shared" si="3"/>
        <v>11062029.909999996</v>
      </c>
      <c r="I37" s="108">
        <f t="shared" ref="I37:S37" si="18">I5</f>
        <v>138568562</v>
      </c>
      <c r="J37" s="122">
        <f t="shared" si="18"/>
        <v>177758821.19</v>
      </c>
      <c r="K37" s="80">
        <f t="shared" si="18"/>
        <v>89121069.189999998</v>
      </c>
      <c r="L37" s="70">
        <f t="shared" si="18"/>
        <v>95649104.469999999</v>
      </c>
      <c r="M37" s="156">
        <f t="shared" si="4"/>
        <v>107.32490682543616</v>
      </c>
      <c r="N37" s="25">
        <f t="shared" si="13"/>
        <v>53.808358893066753</v>
      </c>
      <c r="O37" s="165">
        <f t="shared" si="5"/>
        <v>6528035.2800000012</v>
      </c>
      <c r="P37" s="108">
        <f t="shared" si="18"/>
        <v>123754900</v>
      </c>
      <c r="Q37" s="122">
        <f t="shared" si="18"/>
        <v>96300405.920000002</v>
      </c>
      <c r="R37" s="131">
        <f t="shared" si="18"/>
        <v>41626372.520000003</v>
      </c>
      <c r="S37" s="70">
        <f t="shared" si="18"/>
        <v>46160367.149999999</v>
      </c>
      <c r="T37" s="21">
        <f t="shared" si="6"/>
        <v>110.89212044076521</v>
      </c>
      <c r="U37" s="155">
        <f t="shared" si="7"/>
        <v>47.933720225797359</v>
      </c>
      <c r="V37" s="150">
        <f t="shared" si="8"/>
        <v>4533994.6299999952</v>
      </c>
    </row>
    <row r="38" spans="1:22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spans="1:22" hidden="1"/>
  </sheetData>
  <mergeCells count="5">
    <mergeCell ref="P3:V3"/>
    <mergeCell ref="A3:A4"/>
    <mergeCell ref="B3:G3"/>
    <mergeCell ref="I3:N3"/>
    <mergeCell ref="A1:H2"/>
  </mergeCells>
  <pageMargins left="0.70866141732283472" right="0" top="0.74803149606299213" bottom="0" header="0.31496062992125984" footer="0.31496062992125984"/>
  <pageSetup paperSize="9" scale="69" fitToWidth="3" orientation="landscape" verticalDpi="0" r:id="rId1"/>
  <colBreaks count="2" manualBreakCount="2">
    <brk id="8" min="1" max="36" man="1"/>
    <brk id="15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01 01 2014</vt:lpstr>
      <vt:lpstr>01012015</vt:lpstr>
      <vt:lpstr>0104</vt:lpstr>
      <vt:lpstr>0105</vt:lpstr>
      <vt:lpstr>01,07,2015</vt:lpstr>
      <vt:lpstr>'01,07,2015'!Заголовки_для_печати</vt:lpstr>
      <vt:lpstr>'01012015'!Заголовки_для_печати</vt:lpstr>
      <vt:lpstr>'0104'!Заголовки_для_печати</vt:lpstr>
      <vt:lpstr>'0105'!Заголовки_для_печати</vt:lpstr>
      <vt:lpstr>'01 01 2014'!Область_печати</vt:lpstr>
      <vt:lpstr>'01,07,2015'!Область_печати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Lapshin-AV</cp:lastModifiedBy>
  <cp:lastPrinted>2015-06-22T08:05:08Z</cp:lastPrinted>
  <dcterms:created xsi:type="dcterms:W3CDTF">1996-10-08T23:32:33Z</dcterms:created>
  <dcterms:modified xsi:type="dcterms:W3CDTF">2015-08-17T04:15:40Z</dcterms:modified>
</cp:coreProperties>
</file>