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855" firstSheet="4" activeTab="4"/>
  </bookViews>
  <sheets>
    <sheet name="01 01 2014" sheetId="45" state="hidden" r:id="rId1"/>
    <sheet name="01012015" sheetId="57" state="hidden" r:id="rId2"/>
    <sheet name="0104" sheetId="58" state="hidden" r:id="rId3"/>
    <sheet name="0105" sheetId="59" state="hidden" r:id="rId4"/>
    <sheet name="01,07,2016" sheetId="61" r:id="rId5"/>
  </sheets>
  <definedNames>
    <definedName name="_xlnm.Print_Titles" localSheetId="4">'01,07,2016'!$A:$A</definedName>
    <definedName name="_xlnm.Print_Titles" localSheetId="1">'01012015'!$A:$A</definedName>
    <definedName name="_xlnm.Print_Titles" localSheetId="2">'0104'!$A:$A</definedName>
    <definedName name="_xlnm.Print_Titles" localSheetId="3">'0105'!$A:$A</definedName>
    <definedName name="_xlnm.Print_Area" localSheetId="0">'01 01 2014'!$A$2:$Q$36</definedName>
    <definedName name="_xlnm.Print_Area" localSheetId="4">'01,07,2016'!$A$2:$AJ$38</definedName>
  </definedNames>
  <calcPr calcId="144525" fullCalcOnLoad="1"/>
</workbook>
</file>

<file path=xl/calcChain.xml><?xml version="1.0" encoding="utf-8"?>
<calcChain xmlns="http://schemas.openxmlformats.org/spreadsheetml/2006/main">
  <c r="AH5" i="61"/>
  <c r="AG5"/>
  <c r="W5"/>
  <c r="L5"/>
  <c r="V5"/>
  <c r="K38"/>
  <c r="K5"/>
  <c r="G32"/>
  <c r="C32"/>
  <c r="D32"/>
  <c r="E32"/>
  <c r="F32"/>
  <c r="H32"/>
  <c r="I32"/>
  <c r="J32"/>
  <c r="K32"/>
  <c r="L32"/>
  <c r="B33"/>
  <c r="G35"/>
  <c r="K35"/>
  <c r="F35"/>
  <c r="E35"/>
  <c r="B35"/>
  <c r="N33"/>
  <c r="C33"/>
  <c r="O33"/>
  <c r="P33"/>
  <c r="Q33"/>
  <c r="M33"/>
  <c r="R33"/>
  <c r="Y33"/>
  <c r="Z33"/>
  <c r="AA33"/>
  <c r="E33"/>
  <c r="AB33"/>
  <c r="X33"/>
  <c r="AC33"/>
  <c r="AH33"/>
  <c r="AG35"/>
  <c r="AH35"/>
  <c r="W33"/>
  <c r="L26"/>
  <c r="K24"/>
  <c r="AH6"/>
  <c r="AH7"/>
  <c r="AH9"/>
  <c r="AH10"/>
  <c r="AH11"/>
  <c r="AH13"/>
  <c r="AH14"/>
  <c r="AH15"/>
  <c r="AH17"/>
  <c r="AH18"/>
  <c r="AH19"/>
  <c r="AH20"/>
  <c r="AH22"/>
  <c r="AH23"/>
  <c r="AH24"/>
  <c r="AH25"/>
  <c r="AH26"/>
  <c r="AH27"/>
  <c r="AH28"/>
  <c r="AH30"/>
  <c r="AH31"/>
  <c r="AH32"/>
  <c r="AH34"/>
  <c r="AH36"/>
  <c r="AH37"/>
  <c r="AG6"/>
  <c r="AG7"/>
  <c r="AG9"/>
  <c r="AG10"/>
  <c r="AG11"/>
  <c r="AG13"/>
  <c r="AG14"/>
  <c r="AG15"/>
  <c r="AG17"/>
  <c r="AG18"/>
  <c r="AG19"/>
  <c r="AG20"/>
  <c r="AG22"/>
  <c r="AG23"/>
  <c r="AG24"/>
  <c r="AG25"/>
  <c r="AG26"/>
  <c r="AG27"/>
  <c r="AG28"/>
  <c r="AG30"/>
  <c r="AG31"/>
  <c r="AG32"/>
  <c r="AG34"/>
  <c r="AG36"/>
  <c r="AG37"/>
  <c r="W6"/>
  <c r="W7"/>
  <c r="W9"/>
  <c r="W10"/>
  <c r="W11"/>
  <c r="W13"/>
  <c r="W14"/>
  <c r="W15"/>
  <c r="W17"/>
  <c r="W18"/>
  <c r="W19"/>
  <c r="W20"/>
  <c r="W22"/>
  <c r="W23"/>
  <c r="W24"/>
  <c r="W25"/>
  <c r="W26"/>
  <c r="W27"/>
  <c r="W28"/>
  <c r="W30"/>
  <c r="W31"/>
  <c r="W32"/>
  <c r="W34"/>
  <c r="W36"/>
  <c r="W37"/>
  <c r="V6"/>
  <c r="V7"/>
  <c r="V9"/>
  <c r="V10"/>
  <c r="V11"/>
  <c r="V13"/>
  <c r="V14"/>
  <c r="V15"/>
  <c r="V17"/>
  <c r="V18"/>
  <c r="V19"/>
  <c r="V20"/>
  <c r="V22"/>
  <c r="V23"/>
  <c r="V24"/>
  <c r="V25"/>
  <c r="V26"/>
  <c r="V27"/>
  <c r="V28"/>
  <c r="V30"/>
  <c r="V31"/>
  <c r="V32"/>
  <c r="V34"/>
  <c r="V36"/>
  <c r="V37"/>
  <c r="E6"/>
  <c r="E7"/>
  <c r="E9"/>
  <c r="E10"/>
  <c r="E11"/>
  <c r="K11"/>
  <c r="E13"/>
  <c r="E14"/>
  <c r="E15"/>
  <c r="E17"/>
  <c r="E18"/>
  <c r="E19"/>
  <c r="E20"/>
  <c r="E22"/>
  <c r="E23"/>
  <c r="E24"/>
  <c r="E25"/>
  <c r="E26"/>
  <c r="E27"/>
  <c r="E28"/>
  <c r="E30"/>
  <c r="E31"/>
  <c r="E34"/>
  <c r="K34"/>
  <c r="E36"/>
  <c r="E37"/>
  <c r="F6"/>
  <c r="F7"/>
  <c r="F9"/>
  <c r="L9"/>
  <c r="F10"/>
  <c r="F11"/>
  <c r="F13"/>
  <c r="F14"/>
  <c r="L14"/>
  <c r="F15"/>
  <c r="F17"/>
  <c r="F18"/>
  <c r="F19"/>
  <c r="F20"/>
  <c r="F22"/>
  <c r="F23"/>
  <c r="F24"/>
  <c r="F25"/>
  <c r="F26"/>
  <c r="F27"/>
  <c r="F28"/>
  <c r="F30"/>
  <c r="F31"/>
  <c r="F33"/>
  <c r="F34"/>
  <c r="F36"/>
  <c r="F37"/>
  <c r="Y8"/>
  <c r="Z8"/>
  <c r="AA8"/>
  <c r="AB8"/>
  <c r="Z21"/>
  <c r="AA21"/>
  <c r="AB21"/>
  <c r="Y29"/>
  <c r="Z29"/>
  <c r="AA29"/>
  <c r="AB29"/>
  <c r="Y16"/>
  <c r="Z16"/>
  <c r="AA16"/>
  <c r="E16"/>
  <c r="AB16"/>
  <c r="Y12"/>
  <c r="Z12"/>
  <c r="AA12"/>
  <c r="E12"/>
  <c r="AB12"/>
  <c r="N29"/>
  <c r="O29"/>
  <c r="P29"/>
  <c r="E29"/>
  <c r="Q29"/>
  <c r="F29"/>
  <c r="N21"/>
  <c r="O21"/>
  <c r="P21"/>
  <c r="E21"/>
  <c r="Q21"/>
  <c r="F21"/>
  <c r="N16"/>
  <c r="O16"/>
  <c r="P16"/>
  <c r="Q16"/>
  <c r="F16"/>
  <c r="N12"/>
  <c r="O12"/>
  <c r="P12"/>
  <c r="Q12"/>
  <c r="F12"/>
  <c r="N8"/>
  <c r="O8"/>
  <c r="P8"/>
  <c r="Q8"/>
  <c r="G6"/>
  <c r="I6"/>
  <c r="G7"/>
  <c r="H7"/>
  <c r="G9"/>
  <c r="G10"/>
  <c r="I10"/>
  <c r="G11"/>
  <c r="I11"/>
  <c r="G13"/>
  <c r="L13"/>
  <c r="G14"/>
  <c r="K14"/>
  <c r="G15"/>
  <c r="K15"/>
  <c r="G17"/>
  <c r="K17"/>
  <c r="G18"/>
  <c r="I18"/>
  <c r="G19"/>
  <c r="G20"/>
  <c r="K20"/>
  <c r="G22"/>
  <c r="J22"/>
  <c r="G23"/>
  <c r="L23"/>
  <c r="G24"/>
  <c r="L24"/>
  <c r="G25"/>
  <c r="I25"/>
  <c r="G26"/>
  <c r="K26"/>
  <c r="G27"/>
  <c r="L27"/>
  <c r="H27"/>
  <c r="G28"/>
  <c r="G30"/>
  <c r="L30"/>
  <c r="G31"/>
  <c r="I31"/>
  <c r="G34"/>
  <c r="L34"/>
  <c r="G36"/>
  <c r="J36"/>
  <c r="G37"/>
  <c r="K37"/>
  <c r="AC29"/>
  <c r="AE29"/>
  <c r="AC21"/>
  <c r="AH21"/>
  <c r="AC16"/>
  <c r="AF16"/>
  <c r="AC8"/>
  <c r="R29"/>
  <c r="R21"/>
  <c r="V21"/>
  <c r="R16"/>
  <c r="T16"/>
  <c r="C8"/>
  <c r="R8"/>
  <c r="W8"/>
  <c r="AD24"/>
  <c r="AF6"/>
  <c r="AF7"/>
  <c r="AF9"/>
  <c r="AF11"/>
  <c r="AF13"/>
  <c r="AF14"/>
  <c r="AF15"/>
  <c r="AF17"/>
  <c r="AF18"/>
  <c r="AF19"/>
  <c r="AF20"/>
  <c r="AF22"/>
  <c r="AF23"/>
  <c r="AF24"/>
  <c r="AF25"/>
  <c r="AF27"/>
  <c r="AF28"/>
  <c r="AF30"/>
  <c r="AF31"/>
  <c r="AF32"/>
  <c r="AF36"/>
  <c r="AF37"/>
  <c r="AD6"/>
  <c r="AD7"/>
  <c r="AD11"/>
  <c r="AD13"/>
  <c r="AD14"/>
  <c r="AD17"/>
  <c r="AD18"/>
  <c r="AD19"/>
  <c r="AD22"/>
  <c r="AD23"/>
  <c r="AD25"/>
  <c r="AD26"/>
  <c r="AD30"/>
  <c r="AD31"/>
  <c r="U6"/>
  <c r="U7"/>
  <c r="U9"/>
  <c r="U10"/>
  <c r="U11"/>
  <c r="U13"/>
  <c r="U14"/>
  <c r="U15"/>
  <c r="U17"/>
  <c r="U18"/>
  <c r="U19"/>
  <c r="U20"/>
  <c r="U22"/>
  <c r="U23"/>
  <c r="U24"/>
  <c r="U25"/>
  <c r="U26"/>
  <c r="U27"/>
  <c r="U28"/>
  <c r="U30"/>
  <c r="U31"/>
  <c r="U32"/>
  <c r="U34"/>
  <c r="U36"/>
  <c r="U37"/>
  <c r="S6"/>
  <c r="S7"/>
  <c r="S9"/>
  <c r="S10"/>
  <c r="S17"/>
  <c r="S18"/>
  <c r="S19"/>
  <c r="S22"/>
  <c r="S23"/>
  <c r="S26"/>
  <c r="S27"/>
  <c r="S28"/>
  <c r="S30"/>
  <c r="S31"/>
  <c r="S32"/>
  <c r="AE23"/>
  <c r="T28"/>
  <c r="D37"/>
  <c r="C37"/>
  <c r="B37"/>
  <c r="AE36"/>
  <c r="D36"/>
  <c r="C36"/>
  <c r="B36"/>
  <c r="Y34"/>
  <c r="C34"/>
  <c r="D34"/>
  <c r="D33"/>
  <c r="B34"/>
  <c r="T32"/>
  <c r="B32"/>
  <c r="AE31"/>
  <c r="T31"/>
  <c r="D31"/>
  <c r="D29"/>
  <c r="C31"/>
  <c r="B31"/>
  <c r="AE30"/>
  <c r="T30"/>
  <c r="D30"/>
  <c r="C30"/>
  <c r="B30"/>
  <c r="X29"/>
  <c r="M29"/>
  <c r="AE28"/>
  <c r="D28"/>
  <c r="B28"/>
  <c r="T27"/>
  <c r="D27"/>
  <c r="C27"/>
  <c r="J27"/>
  <c r="B27"/>
  <c r="Y26"/>
  <c r="Y21"/>
  <c r="T26"/>
  <c r="D26"/>
  <c r="C26"/>
  <c r="I26"/>
  <c r="B26"/>
  <c r="AE25"/>
  <c r="D25"/>
  <c r="C25"/>
  <c r="B25"/>
  <c r="C24"/>
  <c r="D24"/>
  <c r="B24"/>
  <c r="T23"/>
  <c r="D23"/>
  <c r="C23"/>
  <c r="B23"/>
  <c r="H23"/>
  <c r="AE22"/>
  <c r="T22"/>
  <c r="B22"/>
  <c r="C22"/>
  <c r="X21"/>
  <c r="D20"/>
  <c r="C20"/>
  <c r="J20"/>
  <c r="B20"/>
  <c r="AE19"/>
  <c r="T19"/>
  <c r="D19"/>
  <c r="C19"/>
  <c r="B19"/>
  <c r="AE18"/>
  <c r="T18"/>
  <c r="D18"/>
  <c r="C18"/>
  <c r="B18"/>
  <c r="B16"/>
  <c r="AE17"/>
  <c r="T17"/>
  <c r="D17"/>
  <c r="C17"/>
  <c r="I17"/>
  <c r="B17"/>
  <c r="X16"/>
  <c r="M16"/>
  <c r="S16"/>
  <c r="D15"/>
  <c r="C15"/>
  <c r="B15"/>
  <c r="AE14"/>
  <c r="D14"/>
  <c r="C14"/>
  <c r="I14"/>
  <c r="AE13"/>
  <c r="D13"/>
  <c r="C13"/>
  <c r="AE11"/>
  <c r="D11"/>
  <c r="C11"/>
  <c r="B11"/>
  <c r="H11"/>
  <c r="Y10"/>
  <c r="AF10"/>
  <c r="C10"/>
  <c r="T10"/>
  <c r="D10"/>
  <c r="B10"/>
  <c r="T9"/>
  <c r="D9"/>
  <c r="C9"/>
  <c r="J9"/>
  <c r="B9"/>
  <c r="B8"/>
  <c r="X8"/>
  <c r="AD8"/>
  <c r="M8"/>
  <c r="AE7"/>
  <c r="T7"/>
  <c r="D7"/>
  <c r="C7"/>
  <c r="B7"/>
  <c r="AE6"/>
  <c r="T6"/>
  <c r="D6"/>
  <c r="C6"/>
  <c r="B6"/>
  <c r="AF4"/>
  <c r="Y4"/>
  <c r="N4"/>
  <c r="T4"/>
  <c r="AE4"/>
  <c r="S4"/>
  <c r="AD4"/>
  <c r="R4"/>
  <c r="AC4"/>
  <c r="O4"/>
  <c r="Z4"/>
  <c r="M4"/>
  <c r="X4"/>
  <c r="J4"/>
  <c r="R22" i="59"/>
  <c r="T22"/>
  <c r="L22"/>
  <c r="O22"/>
  <c r="K22"/>
  <c r="V36"/>
  <c r="O36"/>
  <c r="E36"/>
  <c r="H36"/>
  <c r="D36"/>
  <c r="C36"/>
  <c r="B36"/>
  <c r="V35"/>
  <c r="U35"/>
  <c r="T35"/>
  <c r="O35"/>
  <c r="E35"/>
  <c r="D35"/>
  <c r="H35"/>
  <c r="C35"/>
  <c r="B35"/>
  <c r="V34"/>
  <c r="Q34"/>
  <c r="C34"/>
  <c r="O34"/>
  <c r="E34"/>
  <c r="D34"/>
  <c r="H34"/>
  <c r="B34"/>
  <c r="S33"/>
  <c r="R33"/>
  <c r="Q33"/>
  <c r="C33"/>
  <c r="L33"/>
  <c r="O33"/>
  <c r="K33"/>
  <c r="E33"/>
  <c r="B33"/>
  <c r="V32"/>
  <c r="O32"/>
  <c r="N32"/>
  <c r="M32"/>
  <c r="E32"/>
  <c r="G32"/>
  <c r="D32"/>
  <c r="C32"/>
  <c r="B32"/>
  <c r="V31"/>
  <c r="U31"/>
  <c r="T31"/>
  <c r="O31"/>
  <c r="N31"/>
  <c r="M31"/>
  <c r="E31"/>
  <c r="D31"/>
  <c r="C31"/>
  <c r="B31"/>
  <c r="V30"/>
  <c r="U30"/>
  <c r="T30"/>
  <c r="O30"/>
  <c r="N30"/>
  <c r="M30"/>
  <c r="E30"/>
  <c r="D30"/>
  <c r="D29"/>
  <c r="C30"/>
  <c r="B30"/>
  <c r="S29"/>
  <c r="R29"/>
  <c r="V29"/>
  <c r="Q29"/>
  <c r="P29"/>
  <c r="L29"/>
  <c r="N29"/>
  <c r="K29"/>
  <c r="J29"/>
  <c r="C29"/>
  <c r="I29"/>
  <c r="B29"/>
  <c r="V28"/>
  <c r="U28"/>
  <c r="T28"/>
  <c r="O28"/>
  <c r="N28"/>
  <c r="M28"/>
  <c r="E28"/>
  <c r="G28"/>
  <c r="D28"/>
  <c r="C28"/>
  <c r="B28"/>
  <c r="O27"/>
  <c r="N27"/>
  <c r="M27"/>
  <c r="E27"/>
  <c r="G27"/>
  <c r="D27"/>
  <c r="C27"/>
  <c r="B27"/>
  <c r="V26"/>
  <c r="T26"/>
  <c r="Q26"/>
  <c r="U26"/>
  <c r="O26"/>
  <c r="N26"/>
  <c r="M26"/>
  <c r="E26"/>
  <c r="G26"/>
  <c r="D26"/>
  <c r="C26"/>
  <c r="B26"/>
  <c r="V25"/>
  <c r="U25"/>
  <c r="T25"/>
  <c r="O25"/>
  <c r="E25"/>
  <c r="G25"/>
  <c r="D25"/>
  <c r="C25"/>
  <c r="B25"/>
  <c r="V24"/>
  <c r="Q24"/>
  <c r="C24"/>
  <c r="O24"/>
  <c r="E24"/>
  <c r="D24"/>
  <c r="H24"/>
  <c r="B24"/>
  <c r="V23"/>
  <c r="U23"/>
  <c r="T23"/>
  <c r="O23"/>
  <c r="N23"/>
  <c r="M23"/>
  <c r="E23"/>
  <c r="G23"/>
  <c r="D23"/>
  <c r="C23"/>
  <c r="B23"/>
  <c r="V22"/>
  <c r="Q22"/>
  <c r="U22"/>
  <c r="P22"/>
  <c r="N22"/>
  <c r="J22"/>
  <c r="I22"/>
  <c r="B22"/>
  <c r="B21"/>
  <c r="E22"/>
  <c r="G22"/>
  <c r="C22"/>
  <c r="S21"/>
  <c r="R21"/>
  <c r="P21"/>
  <c r="L21"/>
  <c r="N21"/>
  <c r="J21"/>
  <c r="O20"/>
  <c r="E20"/>
  <c r="D20"/>
  <c r="H20"/>
  <c r="C20"/>
  <c r="B20"/>
  <c r="V19"/>
  <c r="U19"/>
  <c r="T19"/>
  <c r="O19"/>
  <c r="N19"/>
  <c r="M19"/>
  <c r="E19"/>
  <c r="G19"/>
  <c r="D19"/>
  <c r="C19"/>
  <c r="B19"/>
  <c r="V18"/>
  <c r="U18"/>
  <c r="T18"/>
  <c r="O18"/>
  <c r="N18"/>
  <c r="M18"/>
  <c r="E18"/>
  <c r="G18"/>
  <c r="D18"/>
  <c r="H18"/>
  <c r="C18"/>
  <c r="B18"/>
  <c r="V17"/>
  <c r="U17"/>
  <c r="T17"/>
  <c r="O17"/>
  <c r="N17"/>
  <c r="M17"/>
  <c r="E17"/>
  <c r="G17"/>
  <c r="D17"/>
  <c r="D16"/>
  <c r="D12"/>
  <c r="C17"/>
  <c r="B17"/>
  <c r="S16"/>
  <c r="U16"/>
  <c r="R16"/>
  <c r="V16"/>
  <c r="Q16"/>
  <c r="P16"/>
  <c r="L16"/>
  <c r="N16"/>
  <c r="K16"/>
  <c r="K12"/>
  <c r="J16"/>
  <c r="C16"/>
  <c r="I16"/>
  <c r="B16"/>
  <c r="O15"/>
  <c r="E15"/>
  <c r="D15"/>
  <c r="H15"/>
  <c r="C15"/>
  <c r="B15"/>
  <c r="V14"/>
  <c r="U14"/>
  <c r="T14"/>
  <c r="O14"/>
  <c r="I14"/>
  <c r="E14"/>
  <c r="D14"/>
  <c r="C14"/>
  <c r="B14"/>
  <c r="V13"/>
  <c r="U13"/>
  <c r="T13"/>
  <c r="O13"/>
  <c r="I13"/>
  <c r="E13"/>
  <c r="G13"/>
  <c r="D13"/>
  <c r="C13"/>
  <c r="B13"/>
  <c r="S12"/>
  <c r="R12"/>
  <c r="Q12"/>
  <c r="C12"/>
  <c r="P12"/>
  <c r="L12"/>
  <c r="N12"/>
  <c r="J12"/>
  <c r="I12"/>
  <c r="B12"/>
  <c r="V11"/>
  <c r="U11"/>
  <c r="T11"/>
  <c r="O11"/>
  <c r="E11"/>
  <c r="D11"/>
  <c r="H11"/>
  <c r="C11"/>
  <c r="B11"/>
  <c r="V10"/>
  <c r="Q10"/>
  <c r="C10"/>
  <c r="O10"/>
  <c r="N10"/>
  <c r="M10"/>
  <c r="E10"/>
  <c r="G10"/>
  <c r="D10"/>
  <c r="H10"/>
  <c r="B10"/>
  <c r="V9"/>
  <c r="O9"/>
  <c r="N9"/>
  <c r="M9"/>
  <c r="E9"/>
  <c r="G9"/>
  <c r="D9"/>
  <c r="C9"/>
  <c r="B9"/>
  <c r="S8"/>
  <c r="R8"/>
  <c r="V8"/>
  <c r="Q8"/>
  <c r="P8"/>
  <c r="L8"/>
  <c r="N8"/>
  <c r="K8"/>
  <c r="J8"/>
  <c r="C8"/>
  <c r="I8"/>
  <c r="E8"/>
  <c r="G8"/>
  <c r="B8"/>
  <c r="V7"/>
  <c r="U7"/>
  <c r="T7"/>
  <c r="O7"/>
  <c r="N7"/>
  <c r="M7"/>
  <c r="E7"/>
  <c r="G7"/>
  <c r="D7"/>
  <c r="C7"/>
  <c r="B7"/>
  <c r="V6"/>
  <c r="U6"/>
  <c r="T6"/>
  <c r="O6"/>
  <c r="N6"/>
  <c r="M6"/>
  <c r="E6"/>
  <c r="G6"/>
  <c r="D6"/>
  <c r="C6"/>
  <c r="B6"/>
  <c r="B5"/>
  <c r="P5"/>
  <c r="P37"/>
  <c r="J5"/>
  <c r="J37"/>
  <c r="V4"/>
  <c r="Q4"/>
  <c r="N4"/>
  <c r="U4"/>
  <c r="M4"/>
  <c r="T4"/>
  <c r="L4"/>
  <c r="S4"/>
  <c r="K4"/>
  <c r="R4"/>
  <c r="J4"/>
  <c r="I4"/>
  <c r="P4"/>
  <c r="H4"/>
  <c r="H6" i="5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5"/>
  <c r="F6"/>
  <c r="F7"/>
  <c r="F8"/>
  <c r="F9"/>
  <c r="F10"/>
  <c r="F11"/>
  <c r="F12"/>
  <c r="F13"/>
  <c r="F14"/>
  <c r="F16"/>
  <c r="F17"/>
  <c r="F18"/>
  <c r="F19"/>
  <c r="F21"/>
  <c r="F22"/>
  <c r="F23"/>
  <c r="F25"/>
  <c r="F26"/>
  <c r="F27"/>
  <c r="F28"/>
  <c r="F29"/>
  <c r="F30"/>
  <c r="F31"/>
  <c r="F32"/>
  <c r="F33"/>
  <c r="F35"/>
  <c r="F37"/>
  <c r="F5"/>
  <c r="V6"/>
  <c r="V7"/>
  <c r="V8"/>
  <c r="V9"/>
  <c r="V10"/>
  <c r="V11"/>
  <c r="V12"/>
  <c r="V13"/>
  <c r="V14"/>
  <c r="V16"/>
  <c r="V17"/>
  <c r="V18"/>
  <c r="V19"/>
  <c r="V21"/>
  <c r="V22"/>
  <c r="V23"/>
  <c r="V24"/>
  <c r="V25"/>
  <c r="V26"/>
  <c r="V28"/>
  <c r="V29"/>
  <c r="V30"/>
  <c r="V31"/>
  <c r="V32"/>
  <c r="V33"/>
  <c r="V34"/>
  <c r="V35"/>
  <c r="V36"/>
  <c r="V37"/>
  <c r="V5"/>
  <c r="T6"/>
  <c r="T7"/>
  <c r="T8"/>
  <c r="T11"/>
  <c r="T13"/>
  <c r="T14"/>
  <c r="T16"/>
  <c r="T17"/>
  <c r="T18"/>
  <c r="T19"/>
  <c r="T21"/>
  <c r="T22"/>
  <c r="T23"/>
  <c r="T25"/>
  <c r="T26"/>
  <c r="T28"/>
  <c r="T29"/>
  <c r="T30"/>
  <c r="T31"/>
  <c r="T33"/>
  <c r="T35"/>
  <c r="R22"/>
  <c r="Q22"/>
  <c r="P22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5"/>
  <c r="I22"/>
  <c r="M6"/>
  <c r="M7"/>
  <c r="M8"/>
  <c r="M9"/>
  <c r="M10"/>
  <c r="M12"/>
  <c r="M16"/>
  <c r="M17"/>
  <c r="M18"/>
  <c r="M19"/>
  <c r="M21"/>
  <c r="M22"/>
  <c r="M23"/>
  <c r="M26"/>
  <c r="M27"/>
  <c r="M28"/>
  <c r="M29"/>
  <c r="M30"/>
  <c r="M31"/>
  <c r="M32"/>
  <c r="M37"/>
  <c r="M5"/>
  <c r="M4"/>
  <c r="I29"/>
  <c r="L22"/>
  <c r="K22"/>
  <c r="D22"/>
  <c r="J22"/>
  <c r="C22"/>
  <c r="E36"/>
  <c r="D36"/>
  <c r="C36"/>
  <c r="B36"/>
  <c r="U35"/>
  <c r="G35"/>
  <c r="E35"/>
  <c r="D35"/>
  <c r="D33"/>
  <c r="C35"/>
  <c r="B35"/>
  <c r="Q34"/>
  <c r="E34"/>
  <c r="D34"/>
  <c r="B34"/>
  <c r="S33"/>
  <c r="R33"/>
  <c r="L33"/>
  <c r="K33"/>
  <c r="B33"/>
  <c r="N32"/>
  <c r="E32"/>
  <c r="D32"/>
  <c r="C32"/>
  <c r="B32"/>
  <c r="U31"/>
  <c r="N31"/>
  <c r="E31"/>
  <c r="D31"/>
  <c r="C31"/>
  <c r="B31"/>
  <c r="U30"/>
  <c r="N30"/>
  <c r="E30"/>
  <c r="D30"/>
  <c r="D29"/>
  <c r="C30"/>
  <c r="B30"/>
  <c r="S29"/>
  <c r="R29"/>
  <c r="Q29"/>
  <c r="P29"/>
  <c r="L29"/>
  <c r="K29"/>
  <c r="J29"/>
  <c r="E29"/>
  <c r="C29"/>
  <c r="U28"/>
  <c r="E28"/>
  <c r="D28"/>
  <c r="C28"/>
  <c r="B28"/>
  <c r="N27"/>
  <c r="E27"/>
  <c r="D27"/>
  <c r="C27"/>
  <c r="B27"/>
  <c r="Q26"/>
  <c r="U26"/>
  <c r="N26"/>
  <c r="E26"/>
  <c r="G26"/>
  <c r="D26"/>
  <c r="C26"/>
  <c r="B26"/>
  <c r="U25"/>
  <c r="E25"/>
  <c r="D25"/>
  <c r="C25"/>
  <c r="B25"/>
  <c r="Q24"/>
  <c r="E24"/>
  <c r="D24"/>
  <c r="B24"/>
  <c r="U23"/>
  <c r="N23"/>
  <c r="E23"/>
  <c r="D23"/>
  <c r="C23"/>
  <c r="B23"/>
  <c r="U22"/>
  <c r="R21"/>
  <c r="B22"/>
  <c r="S21"/>
  <c r="Q21"/>
  <c r="I21"/>
  <c r="E20"/>
  <c r="D20"/>
  <c r="C20"/>
  <c r="B20"/>
  <c r="U19"/>
  <c r="N19"/>
  <c r="E19"/>
  <c r="D19"/>
  <c r="C19"/>
  <c r="B19"/>
  <c r="U18"/>
  <c r="N18"/>
  <c r="E18"/>
  <c r="D18"/>
  <c r="C18"/>
  <c r="B18"/>
  <c r="U17"/>
  <c r="N17"/>
  <c r="E17"/>
  <c r="D17"/>
  <c r="D16"/>
  <c r="C17"/>
  <c r="B17"/>
  <c r="B16"/>
  <c r="S16"/>
  <c r="R16"/>
  <c r="Q16"/>
  <c r="Q12"/>
  <c r="P16"/>
  <c r="L16"/>
  <c r="K16"/>
  <c r="J16"/>
  <c r="I16"/>
  <c r="E15"/>
  <c r="D15"/>
  <c r="U14"/>
  <c r="I14"/>
  <c r="E14"/>
  <c r="D14"/>
  <c r="C14"/>
  <c r="B14"/>
  <c r="U13"/>
  <c r="I13"/>
  <c r="E13"/>
  <c r="D13"/>
  <c r="C13"/>
  <c r="B13"/>
  <c r="R12"/>
  <c r="L12"/>
  <c r="K12"/>
  <c r="J12"/>
  <c r="I12"/>
  <c r="U11"/>
  <c r="E11"/>
  <c r="D11"/>
  <c r="C11"/>
  <c r="B11"/>
  <c r="Q10"/>
  <c r="N10"/>
  <c r="E10"/>
  <c r="D10"/>
  <c r="C10"/>
  <c r="B10"/>
  <c r="N9"/>
  <c r="E9"/>
  <c r="E8"/>
  <c r="D9"/>
  <c r="B9"/>
  <c r="B8"/>
  <c r="S8"/>
  <c r="R8"/>
  <c r="L8"/>
  <c r="K8"/>
  <c r="J8"/>
  <c r="I8"/>
  <c r="U7"/>
  <c r="N7"/>
  <c r="E7"/>
  <c r="D7"/>
  <c r="C7"/>
  <c r="B7"/>
  <c r="U6"/>
  <c r="N6"/>
  <c r="E6"/>
  <c r="D6"/>
  <c r="C6"/>
  <c r="B6"/>
  <c r="V4"/>
  <c r="T4"/>
  <c r="Q4"/>
  <c r="J4"/>
  <c r="N4"/>
  <c r="U4"/>
  <c r="L4"/>
  <c r="S4"/>
  <c r="K4"/>
  <c r="R4"/>
  <c r="I4"/>
  <c r="P4"/>
  <c r="H4"/>
  <c r="S22" i="57"/>
  <c r="V22"/>
  <c r="Q22"/>
  <c r="L22"/>
  <c r="H4"/>
  <c r="V6"/>
  <c r="V7"/>
  <c r="V11"/>
  <c r="V13"/>
  <c r="V14"/>
  <c r="V17"/>
  <c r="V18"/>
  <c r="V19"/>
  <c r="V23"/>
  <c r="V25"/>
  <c r="V28"/>
  <c r="V30"/>
  <c r="V31"/>
  <c r="V32"/>
  <c r="V35"/>
  <c r="V36"/>
  <c r="V4"/>
  <c r="O6"/>
  <c r="O7"/>
  <c r="O9"/>
  <c r="O10"/>
  <c r="O11"/>
  <c r="O13"/>
  <c r="O14"/>
  <c r="O15"/>
  <c r="O17"/>
  <c r="O18"/>
  <c r="O19"/>
  <c r="O20"/>
  <c r="O23"/>
  <c r="O24"/>
  <c r="O25"/>
  <c r="O26"/>
  <c r="O27"/>
  <c r="O30"/>
  <c r="O31"/>
  <c r="O32"/>
  <c r="O34"/>
  <c r="O35"/>
  <c r="O36"/>
  <c r="U6"/>
  <c r="U7"/>
  <c r="U11"/>
  <c r="U13"/>
  <c r="U14"/>
  <c r="U17"/>
  <c r="U18"/>
  <c r="U19"/>
  <c r="U23"/>
  <c r="U25"/>
  <c r="U28"/>
  <c r="U30"/>
  <c r="U31"/>
  <c r="U32"/>
  <c r="U35"/>
  <c r="U36"/>
  <c r="T25"/>
  <c r="T26"/>
  <c r="T30"/>
  <c r="T31"/>
  <c r="T17"/>
  <c r="T18"/>
  <c r="T19"/>
  <c r="T23"/>
  <c r="T13"/>
  <c r="T14"/>
  <c r="T11"/>
  <c r="T6"/>
  <c r="T7"/>
  <c r="N23"/>
  <c r="N24"/>
  <c r="N26"/>
  <c r="N27"/>
  <c r="N30"/>
  <c r="N31"/>
  <c r="N32"/>
  <c r="M23"/>
  <c r="M24"/>
  <c r="M26"/>
  <c r="M27"/>
  <c r="M28"/>
  <c r="M30"/>
  <c r="M31"/>
  <c r="M32"/>
  <c r="N17"/>
  <c r="N18"/>
  <c r="N19"/>
  <c r="M17"/>
  <c r="M18"/>
  <c r="M19"/>
  <c r="N22"/>
  <c r="N7"/>
  <c r="N9"/>
  <c r="N10"/>
  <c r="N6"/>
  <c r="M9"/>
  <c r="M10"/>
  <c r="M7"/>
  <c r="M6"/>
  <c r="G36"/>
  <c r="E36"/>
  <c r="H36"/>
  <c r="D36"/>
  <c r="C36"/>
  <c r="B36"/>
  <c r="E35"/>
  <c r="D35"/>
  <c r="C35"/>
  <c r="B35"/>
  <c r="Q34"/>
  <c r="V34"/>
  <c r="C34"/>
  <c r="E34"/>
  <c r="H34"/>
  <c r="D34"/>
  <c r="B34"/>
  <c r="B33"/>
  <c r="S33"/>
  <c r="R33"/>
  <c r="L33"/>
  <c r="O33"/>
  <c r="K33"/>
  <c r="E32"/>
  <c r="H32"/>
  <c r="D32"/>
  <c r="C32"/>
  <c r="B32"/>
  <c r="E31"/>
  <c r="D31"/>
  <c r="C31"/>
  <c r="G31"/>
  <c r="B31"/>
  <c r="F31"/>
  <c r="E30"/>
  <c r="H30"/>
  <c r="D30"/>
  <c r="C30"/>
  <c r="G30"/>
  <c r="B30"/>
  <c r="F30"/>
  <c r="S29"/>
  <c r="T29"/>
  <c r="R29"/>
  <c r="Q29"/>
  <c r="P29"/>
  <c r="L29"/>
  <c r="O29"/>
  <c r="K29"/>
  <c r="J29"/>
  <c r="I29"/>
  <c r="E29"/>
  <c r="D29"/>
  <c r="C29"/>
  <c r="G29"/>
  <c r="B29"/>
  <c r="F29"/>
  <c r="K28"/>
  <c r="D28"/>
  <c r="J28"/>
  <c r="O28"/>
  <c r="E28"/>
  <c r="H28"/>
  <c r="C28"/>
  <c r="B28"/>
  <c r="Q27"/>
  <c r="C27"/>
  <c r="E27"/>
  <c r="F27"/>
  <c r="D27"/>
  <c r="B27"/>
  <c r="Q26"/>
  <c r="V26"/>
  <c r="E26"/>
  <c r="H26"/>
  <c r="D26"/>
  <c r="C26"/>
  <c r="G26"/>
  <c r="B26"/>
  <c r="E25"/>
  <c r="F25"/>
  <c r="D25"/>
  <c r="B25"/>
  <c r="Q24"/>
  <c r="V24"/>
  <c r="E24"/>
  <c r="H24"/>
  <c r="D24"/>
  <c r="C24"/>
  <c r="B24"/>
  <c r="E23"/>
  <c r="F23"/>
  <c r="D23"/>
  <c r="C23"/>
  <c r="B23"/>
  <c r="R22"/>
  <c r="R21"/>
  <c r="R5"/>
  <c r="R37"/>
  <c r="P22"/>
  <c r="K22"/>
  <c r="D22"/>
  <c r="J22"/>
  <c r="I22"/>
  <c r="B22"/>
  <c r="E22"/>
  <c r="C22"/>
  <c r="S21"/>
  <c r="T21"/>
  <c r="Q21"/>
  <c r="C21"/>
  <c r="P21"/>
  <c r="L21"/>
  <c r="O21"/>
  <c r="K21"/>
  <c r="J21"/>
  <c r="I21"/>
  <c r="Q20"/>
  <c r="V20"/>
  <c r="E20"/>
  <c r="D20"/>
  <c r="B20"/>
  <c r="E19"/>
  <c r="F19"/>
  <c r="D19"/>
  <c r="C19"/>
  <c r="B19"/>
  <c r="E18"/>
  <c r="D18"/>
  <c r="C18"/>
  <c r="B18"/>
  <c r="E17"/>
  <c r="H17"/>
  <c r="D17"/>
  <c r="D16"/>
  <c r="C17"/>
  <c r="B17"/>
  <c r="S16"/>
  <c r="R16"/>
  <c r="Q16"/>
  <c r="P16"/>
  <c r="L16"/>
  <c r="L12"/>
  <c r="K16"/>
  <c r="J16"/>
  <c r="I16"/>
  <c r="B16"/>
  <c r="E15"/>
  <c r="D15"/>
  <c r="E14"/>
  <c r="G14"/>
  <c r="D14"/>
  <c r="C14"/>
  <c r="E13"/>
  <c r="D13"/>
  <c r="D12"/>
  <c r="C13"/>
  <c r="G13"/>
  <c r="R12"/>
  <c r="K12"/>
  <c r="J12"/>
  <c r="E11"/>
  <c r="F11"/>
  <c r="D11"/>
  <c r="D8"/>
  <c r="C11"/>
  <c r="G11"/>
  <c r="B11"/>
  <c r="Q10"/>
  <c r="V10"/>
  <c r="E10"/>
  <c r="H10"/>
  <c r="D10"/>
  <c r="C10"/>
  <c r="G10"/>
  <c r="B10"/>
  <c r="E9"/>
  <c r="D9"/>
  <c r="S8"/>
  <c r="R8"/>
  <c r="L8"/>
  <c r="N8"/>
  <c r="K8"/>
  <c r="K5"/>
  <c r="K37"/>
  <c r="D37"/>
  <c r="J8"/>
  <c r="I8"/>
  <c r="E8"/>
  <c r="E7"/>
  <c r="H7"/>
  <c r="D7"/>
  <c r="C7"/>
  <c r="B7"/>
  <c r="E6"/>
  <c r="D6"/>
  <c r="C6"/>
  <c r="G6"/>
  <c r="B6"/>
  <c r="J5"/>
  <c r="J37"/>
  <c r="T4"/>
  <c r="Q4"/>
  <c r="J4"/>
  <c r="N4"/>
  <c r="U4"/>
  <c r="L4"/>
  <c r="S4"/>
  <c r="K4"/>
  <c r="R4"/>
  <c r="I4"/>
  <c r="P4"/>
  <c r="H4" i="45"/>
  <c r="I4"/>
  <c r="J4"/>
  <c r="L4"/>
  <c r="M4"/>
  <c r="N4"/>
  <c r="O4"/>
  <c r="P4"/>
  <c r="Q4"/>
  <c r="B6"/>
  <c r="C6"/>
  <c r="D6"/>
  <c r="F6"/>
  <c r="K6"/>
  <c r="L6"/>
  <c r="P6"/>
  <c r="Q6"/>
  <c r="C7"/>
  <c r="H7"/>
  <c r="H5"/>
  <c r="H36"/>
  <c r="I7"/>
  <c r="J7"/>
  <c r="K7"/>
  <c r="L7"/>
  <c r="N7"/>
  <c r="Q7"/>
  <c r="O7"/>
  <c r="B8"/>
  <c r="B7"/>
  <c r="C8"/>
  <c r="D8"/>
  <c r="D7"/>
  <c r="F8"/>
  <c r="K8"/>
  <c r="L8"/>
  <c r="M8"/>
  <c r="M7"/>
  <c r="B9"/>
  <c r="C9"/>
  <c r="D9"/>
  <c r="G9"/>
  <c r="B10"/>
  <c r="C10"/>
  <c r="D10"/>
  <c r="E10"/>
  <c r="F10"/>
  <c r="P10"/>
  <c r="Q10"/>
  <c r="H11"/>
  <c r="J11"/>
  <c r="K11"/>
  <c r="N11"/>
  <c r="B12"/>
  <c r="C12"/>
  <c r="D12"/>
  <c r="F12"/>
  <c r="H12"/>
  <c r="P12"/>
  <c r="Q12"/>
  <c r="B13"/>
  <c r="C13"/>
  <c r="D13"/>
  <c r="E13"/>
  <c r="F13"/>
  <c r="H13"/>
  <c r="P13"/>
  <c r="Q13"/>
  <c r="B14"/>
  <c r="C14"/>
  <c r="D14"/>
  <c r="M14"/>
  <c r="M11"/>
  <c r="H15"/>
  <c r="I15"/>
  <c r="I11"/>
  <c r="L11"/>
  <c r="J15"/>
  <c r="K15"/>
  <c r="M15"/>
  <c r="N15"/>
  <c r="O15"/>
  <c r="O11"/>
  <c r="Q15"/>
  <c r="B16"/>
  <c r="C16"/>
  <c r="C15"/>
  <c r="C11"/>
  <c r="D16"/>
  <c r="E16"/>
  <c r="K16"/>
  <c r="L16"/>
  <c r="P16"/>
  <c r="Q16"/>
  <c r="B17"/>
  <c r="B15"/>
  <c r="C17"/>
  <c r="D17"/>
  <c r="E17"/>
  <c r="F17"/>
  <c r="K17"/>
  <c r="L17"/>
  <c r="P17"/>
  <c r="Q17"/>
  <c r="B18"/>
  <c r="C18"/>
  <c r="F18"/>
  <c r="D18"/>
  <c r="E18"/>
  <c r="K18"/>
  <c r="L18"/>
  <c r="P18"/>
  <c r="Q18"/>
  <c r="B19"/>
  <c r="C19"/>
  <c r="D19"/>
  <c r="H20"/>
  <c r="I20"/>
  <c r="J20"/>
  <c r="K20"/>
  <c r="L20"/>
  <c r="N20"/>
  <c r="J21"/>
  <c r="K21"/>
  <c r="L21"/>
  <c r="M21"/>
  <c r="M20"/>
  <c r="N21"/>
  <c r="C21"/>
  <c r="C20"/>
  <c r="O21"/>
  <c r="O20"/>
  <c r="Q21"/>
  <c r="B22"/>
  <c r="C22"/>
  <c r="F22"/>
  <c r="D22"/>
  <c r="E22"/>
  <c r="K22"/>
  <c r="L22"/>
  <c r="P22"/>
  <c r="Q22"/>
  <c r="B23"/>
  <c r="C23"/>
  <c r="D23"/>
  <c r="E23"/>
  <c r="F23"/>
  <c r="K23"/>
  <c r="L23"/>
  <c r="P23"/>
  <c r="Q23"/>
  <c r="B24"/>
  <c r="C24"/>
  <c r="F24"/>
  <c r="D24"/>
  <c r="E24"/>
  <c r="K24"/>
  <c r="L24"/>
  <c r="P24"/>
  <c r="Q24"/>
  <c r="B25"/>
  <c r="C25"/>
  <c r="D25"/>
  <c r="E25"/>
  <c r="F25"/>
  <c r="K25"/>
  <c r="L25"/>
  <c r="P25"/>
  <c r="Q25"/>
  <c r="B26"/>
  <c r="C26"/>
  <c r="F26"/>
  <c r="D26"/>
  <c r="E26"/>
  <c r="K26"/>
  <c r="L26"/>
  <c r="B27"/>
  <c r="C27"/>
  <c r="D27"/>
  <c r="E27"/>
  <c r="F27"/>
  <c r="K27"/>
  <c r="L27"/>
  <c r="Q27"/>
  <c r="H28"/>
  <c r="I28"/>
  <c r="M28"/>
  <c r="N28"/>
  <c r="O28"/>
  <c r="P28"/>
  <c r="Q28"/>
  <c r="B29"/>
  <c r="C29"/>
  <c r="C28"/>
  <c r="D29"/>
  <c r="E29"/>
  <c r="K29"/>
  <c r="L29"/>
  <c r="P29"/>
  <c r="Q29"/>
  <c r="B30"/>
  <c r="B28"/>
  <c r="C30"/>
  <c r="D30"/>
  <c r="E30"/>
  <c r="F30"/>
  <c r="J30"/>
  <c r="J28"/>
  <c r="K30"/>
  <c r="L30"/>
  <c r="P30"/>
  <c r="Q30"/>
  <c r="B31"/>
  <c r="C31"/>
  <c r="D31"/>
  <c r="E31"/>
  <c r="F31"/>
  <c r="K31"/>
  <c r="L31"/>
  <c r="Q31"/>
  <c r="I32"/>
  <c r="J32"/>
  <c r="N32"/>
  <c r="O32"/>
  <c r="Q32"/>
  <c r="B33"/>
  <c r="B32"/>
  <c r="C33"/>
  <c r="C32"/>
  <c r="D33"/>
  <c r="D32"/>
  <c r="B34"/>
  <c r="C34"/>
  <c r="F34"/>
  <c r="D34"/>
  <c r="E34"/>
  <c r="Q34"/>
  <c r="B35"/>
  <c r="C35"/>
  <c r="F35"/>
  <c r="D35"/>
  <c r="E35"/>
  <c r="G35"/>
  <c r="Q35"/>
  <c r="D33" i="57"/>
  <c r="F26"/>
  <c r="D21"/>
  <c r="D5"/>
  <c r="G32"/>
  <c r="F24"/>
  <c r="G22"/>
  <c r="Q12"/>
  <c r="C12"/>
  <c r="C16"/>
  <c r="G7"/>
  <c r="G18"/>
  <c r="E16"/>
  <c r="E12"/>
  <c r="G17"/>
  <c r="G35"/>
  <c r="E33"/>
  <c r="F32"/>
  <c r="F28"/>
  <c r="G27"/>
  <c r="G23"/>
  <c r="G19"/>
  <c r="F10"/>
  <c r="L5"/>
  <c r="L37"/>
  <c r="N37"/>
  <c r="M8"/>
  <c r="F7"/>
  <c r="C25"/>
  <c r="G25"/>
  <c r="Q33"/>
  <c r="C33"/>
  <c r="F16"/>
  <c r="I14"/>
  <c r="B14"/>
  <c r="F14"/>
  <c r="I13"/>
  <c r="B13"/>
  <c r="F13"/>
  <c r="P15"/>
  <c r="B15"/>
  <c r="P12"/>
  <c r="Q15"/>
  <c r="V15"/>
  <c r="C15"/>
  <c r="P9"/>
  <c r="P8"/>
  <c r="T8"/>
  <c r="P5"/>
  <c r="P37"/>
  <c r="B9"/>
  <c r="Q9"/>
  <c r="B8"/>
  <c r="F9"/>
  <c r="F8"/>
  <c r="H35"/>
  <c r="H29"/>
  <c r="H31"/>
  <c r="H23"/>
  <c r="H22"/>
  <c r="H19"/>
  <c r="H18"/>
  <c r="V16"/>
  <c r="H14"/>
  <c r="H13"/>
  <c r="H11"/>
  <c r="H6"/>
  <c r="G33"/>
  <c r="H12"/>
  <c r="G12"/>
  <c r="G16"/>
  <c r="F17"/>
  <c r="F6"/>
  <c r="V9"/>
  <c r="C9"/>
  <c r="G9"/>
  <c r="Q8"/>
  <c r="E32" i="45"/>
  <c r="F32"/>
  <c r="L28"/>
  <c r="K28"/>
  <c r="Q11"/>
  <c r="P11"/>
  <c r="B11"/>
  <c r="M5"/>
  <c r="M36"/>
  <c r="P7"/>
  <c r="F7"/>
  <c r="E7"/>
  <c r="B36"/>
  <c r="B12" i="57"/>
  <c r="I12"/>
  <c r="O37"/>
  <c r="Q20" i="45"/>
  <c r="P20"/>
  <c r="O5"/>
  <c r="I5"/>
  <c r="I36"/>
  <c r="C36"/>
  <c r="C5"/>
  <c r="D28"/>
  <c r="D21"/>
  <c r="B21"/>
  <c r="B20"/>
  <c r="B5"/>
  <c r="D15"/>
  <c r="N5"/>
  <c r="N36"/>
  <c r="J5"/>
  <c r="O5" i="57"/>
  <c r="N5"/>
  <c r="H33"/>
  <c r="H16"/>
  <c r="F29" i="45"/>
  <c r="P21"/>
  <c r="F16"/>
  <c r="P15"/>
  <c r="L15"/>
  <c r="E12"/>
  <c r="E8"/>
  <c r="E6"/>
  <c r="H15" i="57"/>
  <c r="B21"/>
  <c r="F22"/>
  <c r="V33"/>
  <c r="V8"/>
  <c r="H9"/>
  <c r="O12"/>
  <c r="N12"/>
  <c r="M16"/>
  <c r="N16"/>
  <c r="M29"/>
  <c r="M22"/>
  <c r="N28"/>
  <c r="N21"/>
  <c r="T16"/>
  <c r="T22"/>
  <c r="U33"/>
  <c r="U29"/>
  <c r="U26"/>
  <c r="U21"/>
  <c r="U16"/>
  <c r="O22"/>
  <c r="O16"/>
  <c r="O8"/>
  <c r="V29"/>
  <c r="V27"/>
  <c r="V21"/>
  <c r="H27"/>
  <c r="H25"/>
  <c r="S12"/>
  <c r="S5"/>
  <c r="F18"/>
  <c r="C20"/>
  <c r="H20"/>
  <c r="E21"/>
  <c r="G24"/>
  <c r="G28"/>
  <c r="M21"/>
  <c r="N29"/>
  <c r="U22"/>
  <c r="S37"/>
  <c r="T5"/>
  <c r="V12"/>
  <c r="U12"/>
  <c r="T12"/>
  <c r="K5" i="45"/>
  <c r="J36"/>
  <c r="L5"/>
  <c r="L36"/>
  <c r="E15"/>
  <c r="F15"/>
  <c r="D20"/>
  <c r="E21"/>
  <c r="F21"/>
  <c r="F12" i="57"/>
  <c r="B5"/>
  <c r="H21"/>
  <c r="G21"/>
  <c r="F21"/>
  <c r="E5"/>
  <c r="E28" i="45"/>
  <c r="F28"/>
  <c r="Q5"/>
  <c r="Q36"/>
  <c r="P5"/>
  <c r="P36"/>
  <c r="O36"/>
  <c r="M12" i="57"/>
  <c r="I5"/>
  <c r="D11" i="45"/>
  <c r="C8" i="57"/>
  <c r="Q5"/>
  <c r="U8"/>
  <c r="F11" i="45"/>
  <c r="E11"/>
  <c r="D5"/>
  <c r="C5" i="57"/>
  <c r="Q37"/>
  <c r="C37"/>
  <c r="I37"/>
  <c r="M5"/>
  <c r="T37"/>
  <c r="V37"/>
  <c r="U37"/>
  <c r="E37"/>
  <c r="G8"/>
  <c r="H8"/>
  <c r="H5"/>
  <c r="G5"/>
  <c r="F5"/>
  <c r="F20" i="45"/>
  <c r="E20"/>
  <c r="D36"/>
  <c r="K36"/>
  <c r="U5" i="57"/>
  <c r="V5"/>
  <c r="E36" i="45"/>
  <c r="F36"/>
  <c r="H37" i="57"/>
  <c r="G37"/>
  <c r="B37"/>
  <c r="F37"/>
  <c r="M37"/>
  <c r="F5" i="45"/>
  <c r="E5"/>
  <c r="U29" i="58"/>
  <c r="G25"/>
  <c r="B21"/>
  <c r="U21"/>
  <c r="E16"/>
  <c r="E12"/>
  <c r="R5"/>
  <c r="R37"/>
  <c r="G14"/>
  <c r="G13"/>
  <c r="D8"/>
  <c r="G32"/>
  <c r="G31"/>
  <c r="G29"/>
  <c r="N29"/>
  <c r="G30"/>
  <c r="G28"/>
  <c r="G27"/>
  <c r="D21"/>
  <c r="G23"/>
  <c r="K21"/>
  <c r="K5"/>
  <c r="K37"/>
  <c r="N22"/>
  <c r="G19"/>
  <c r="G18"/>
  <c r="I5"/>
  <c r="I37"/>
  <c r="C16"/>
  <c r="G16"/>
  <c r="C12"/>
  <c r="G17"/>
  <c r="N12"/>
  <c r="N16"/>
  <c r="N8"/>
  <c r="G7"/>
  <c r="C9"/>
  <c r="Q8"/>
  <c r="G6"/>
  <c r="G10"/>
  <c r="G11"/>
  <c r="P12"/>
  <c r="P8"/>
  <c r="S12"/>
  <c r="D12"/>
  <c r="B15"/>
  <c r="B12"/>
  <c r="U16"/>
  <c r="J21"/>
  <c r="L21"/>
  <c r="P21"/>
  <c r="E22"/>
  <c r="C24"/>
  <c r="N28"/>
  <c r="B29"/>
  <c r="E33"/>
  <c r="Q33"/>
  <c r="C34"/>
  <c r="S5"/>
  <c r="T5"/>
  <c r="T12"/>
  <c r="D37"/>
  <c r="G12"/>
  <c r="U8"/>
  <c r="B5"/>
  <c r="D5"/>
  <c r="E21"/>
  <c r="G22"/>
  <c r="U33"/>
  <c r="C33"/>
  <c r="G33"/>
  <c r="C21"/>
  <c r="J5"/>
  <c r="J37"/>
  <c r="U12"/>
  <c r="P5"/>
  <c r="P37"/>
  <c r="B37"/>
  <c r="G9"/>
  <c r="N21"/>
  <c r="L5"/>
  <c r="C15"/>
  <c r="Q5"/>
  <c r="U5"/>
  <c r="C8"/>
  <c r="S37"/>
  <c r="T37"/>
  <c r="G8"/>
  <c r="L37"/>
  <c r="N5"/>
  <c r="Q37"/>
  <c r="C37"/>
  <c r="C5"/>
  <c r="G21"/>
  <c r="E5"/>
  <c r="U37"/>
  <c r="G5"/>
  <c r="N37"/>
  <c r="E37"/>
  <c r="G37"/>
  <c r="L5" i="59"/>
  <c r="L37"/>
  <c r="N37"/>
  <c r="O12"/>
  <c r="D33"/>
  <c r="H33"/>
  <c r="U33"/>
  <c r="G35"/>
  <c r="G31"/>
  <c r="U29"/>
  <c r="G30"/>
  <c r="V21"/>
  <c r="H25"/>
  <c r="R5"/>
  <c r="R37"/>
  <c r="H14"/>
  <c r="G14"/>
  <c r="U12"/>
  <c r="S5"/>
  <c r="S37"/>
  <c r="H13"/>
  <c r="U8"/>
  <c r="G11"/>
  <c r="H31"/>
  <c r="D8"/>
  <c r="H8"/>
  <c r="H6"/>
  <c r="G33"/>
  <c r="F6"/>
  <c r="H7"/>
  <c r="F7"/>
  <c r="M8"/>
  <c r="O8"/>
  <c r="F9"/>
  <c r="H9"/>
  <c r="T12"/>
  <c r="V12"/>
  <c r="E16"/>
  <c r="M16"/>
  <c r="O16"/>
  <c r="F17"/>
  <c r="H17"/>
  <c r="F19"/>
  <c r="H19"/>
  <c r="E21"/>
  <c r="I21"/>
  <c r="I5"/>
  <c r="I37"/>
  <c r="B37"/>
  <c r="K21"/>
  <c r="K5"/>
  <c r="Q21"/>
  <c r="D22"/>
  <c r="D21"/>
  <c r="D5"/>
  <c r="H22"/>
  <c r="F23"/>
  <c r="H23"/>
  <c r="F26"/>
  <c r="H26"/>
  <c r="F27"/>
  <c r="H27"/>
  <c r="F28"/>
  <c r="H28"/>
  <c r="E29"/>
  <c r="M29"/>
  <c r="O29"/>
  <c r="F30"/>
  <c r="H30"/>
  <c r="F32"/>
  <c r="H32"/>
  <c r="T33"/>
  <c r="V33"/>
  <c r="F8"/>
  <c r="T8"/>
  <c r="F10"/>
  <c r="F11"/>
  <c r="M12"/>
  <c r="F13"/>
  <c r="F14"/>
  <c r="T16"/>
  <c r="F18"/>
  <c r="T21"/>
  <c r="M22"/>
  <c r="F25"/>
  <c r="T29"/>
  <c r="F31"/>
  <c r="F33"/>
  <c r="F35"/>
  <c r="N5"/>
  <c r="T37"/>
  <c r="V37"/>
  <c r="T5"/>
  <c r="E37"/>
  <c r="V5"/>
  <c r="O21"/>
  <c r="H29"/>
  <c r="F29"/>
  <c r="G29"/>
  <c r="F22"/>
  <c r="C21"/>
  <c r="Q5"/>
  <c r="M21"/>
  <c r="H16"/>
  <c r="F16"/>
  <c r="E12"/>
  <c r="G16"/>
  <c r="K37"/>
  <c r="O5"/>
  <c r="M5"/>
  <c r="H21"/>
  <c r="F21"/>
  <c r="G21"/>
  <c r="U21"/>
  <c r="D37"/>
  <c r="O37"/>
  <c r="M37"/>
  <c r="G12"/>
  <c r="H12"/>
  <c r="F12"/>
  <c r="E5"/>
  <c r="Q37"/>
  <c r="C5"/>
  <c r="U5"/>
  <c r="C37"/>
  <c r="G37"/>
  <c r="U37"/>
  <c r="G5"/>
  <c r="H5"/>
  <c r="F5"/>
  <c r="H37"/>
  <c r="F37"/>
  <c r="I9" i="61"/>
  <c r="M21"/>
  <c r="D22"/>
  <c r="D21"/>
  <c r="C28"/>
  <c r="I28"/>
  <c r="M13"/>
  <c r="B13"/>
  <c r="M14"/>
  <c r="B14"/>
  <c r="J10"/>
  <c r="J14"/>
  <c r="H26"/>
  <c r="H19"/>
  <c r="X12"/>
  <c r="AF34"/>
  <c r="AE16"/>
  <c r="C29"/>
  <c r="AF29"/>
  <c r="C16"/>
  <c r="AE8"/>
  <c r="U8"/>
  <c r="U29"/>
  <c r="C12"/>
  <c r="T29"/>
  <c r="U16"/>
  <c r="P5"/>
  <c r="E5"/>
  <c r="AA5"/>
  <c r="J26"/>
  <c r="O5"/>
  <c r="O38"/>
  <c r="D38"/>
  <c r="H9"/>
  <c r="J28"/>
  <c r="J19"/>
  <c r="H28"/>
  <c r="U33"/>
  <c r="J30"/>
  <c r="H6"/>
  <c r="N5"/>
  <c r="N38"/>
  <c r="C38"/>
  <c r="AF33"/>
  <c r="B29"/>
  <c r="J31"/>
  <c r="M12"/>
  <c r="M5"/>
  <c r="M38"/>
  <c r="B38"/>
  <c r="J11"/>
  <c r="D8"/>
  <c r="D16"/>
  <c r="D12"/>
  <c r="AF26"/>
  <c r="Z5"/>
  <c r="Z38"/>
  <c r="AE21"/>
  <c r="C21"/>
  <c r="Y5"/>
  <c r="Y38"/>
  <c r="H14"/>
  <c r="B12"/>
  <c r="D5"/>
  <c r="AD29"/>
  <c r="T8"/>
  <c r="X5"/>
  <c r="X38"/>
  <c r="J6"/>
  <c r="AE26"/>
  <c r="S29"/>
  <c r="Q5"/>
  <c r="I23"/>
  <c r="AG29"/>
  <c r="AG33"/>
  <c r="K36"/>
  <c r="L31"/>
  <c r="J23"/>
  <c r="AG21"/>
  <c r="H17"/>
  <c r="AC12"/>
  <c r="G16"/>
  <c r="K16"/>
  <c r="L11"/>
  <c r="AG8"/>
  <c r="F8"/>
  <c r="AH8"/>
  <c r="E8"/>
  <c r="J34"/>
  <c r="G29"/>
  <c r="I29"/>
  <c r="J29"/>
  <c r="V29"/>
  <c r="K28"/>
  <c r="L19"/>
  <c r="W16"/>
  <c r="L18"/>
  <c r="J18"/>
  <c r="R12"/>
  <c r="T12"/>
  <c r="V16"/>
  <c r="K9"/>
  <c r="H16"/>
  <c r="H29"/>
  <c r="I19"/>
  <c r="V33"/>
  <c r="K27"/>
  <c r="T21"/>
  <c r="W21"/>
  <c r="S21"/>
  <c r="U21"/>
  <c r="V8"/>
  <c r="G8"/>
  <c r="J8"/>
  <c r="AB5"/>
  <c r="K30"/>
  <c r="AH29"/>
  <c r="H25"/>
  <c r="K25"/>
  <c r="G21"/>
  <c r="I21"/>
  <c r="AD21"/>
  <c r="AF21"/>
  <c r="AC5"/>
  <c r="L17"/>
  <c r="AD12"/>
  <c r="AF8"/>
  <c r="K7"/>
  <c r="W29"/>
  <c r="B21"/>
  <c r="K19"/>
  <c r="AD16"/>
  <c r="AH16"/>
  <c r="AG16"/>
  <c r="AH12"/>
  <c r="AE12"/>
  <c r="AF12"/>
  <c r="AG12"/>
  <c r="I8"/>
  <c r="B5"/>
  <c r="H5"/>
  <c r="C5"/>
  <c r="AA38"/>
  <c r="AD5"/>
  <c r="I13"/>
  <c r="H13"/>
  <c r="J13"/>
  <c r="J15"/>
  <c r="J17"/>
  <c r="L25"/>
  <c r="L7"/>
  <c r="I36"/>
  <c r="I7"/>
  <c r="K31"/>
  <c r="J37"/>
  <c r="H31"/>
  <c r="J7"/>
  <c r="J25"/>
  <c r="K13"/>
  <c r="H10"/>
  <c r="K10"/>
  <c r="L37"/>
  <c r="L15"/>
  <c r="I27"/>
  <c r="L6"/>
  <c r="K18"/>
  <c r="J24"/>
  <c r="L36"/>
  <c r="G33"/>
  <c r="K33"/>
  <c r="AE33"/>
  <c r="I30"/>
  <c r="AB38"/>
  <c r="L28"/>
  <c r="AF5"/>
  <c r="J21"/>
  <c r="AE5"/>
  <c r="AC38"/>
  <c r="AD38"/>
  <c r="AF38"/>
  <c r="AG38"/>
  <c r="AE38"/>
  <c r="AH38"/>
  <c r="L20"/>
  <c r="L33"/>
  <c r="I33"/>
  <c r="J33"/>
  <c r="L29"/>
  <c r="K29"/>
  <c r="H30"/>
  <c r="P38"/>
  <c r="E38"/>
  <c r="K21"/>
  <c r="K23"/>
  <c r="L21"/>
  <c r="L22"/>
  <c r="H22"/>
  <c r="I22"/>
  <c r="H21"/>
  <c r="K22"/>
  <c r="H18"/>
  <c r="U12"/>
  <c r="J16"/>
  <c r="W12"/>
  <c r="I16"/>
  <c r="R5"/>
  <c r="R38"/>
  <c r="T38"/>
  <c r="S12"/>
  <c r="G12"/>
  <c r="L16"/>
  <c r="V12"/>
  <c r="L10"/>
  <c r="H8"/>
  <c r="S8"/>
  <c r="K8"/>
  <c r="L8"/>
  <c r="F5"/>
  <c r="Q38"/>
  <c r="F38"/>
  <c r="K6"/>
  <c r="S38"/>
  <c r="V38"/>
  <c r="T5"/>
  <c r="K12"/>
  <c r="H12"/>
  <c r="J12"/>
  <c r="I12"/>
  <c r="G38"/>
  <c r="S5"/>
  <c r="L12"/>
  <c r="G5"/>
  <c r="U38"/>
  <c r="U5"/>
  <c r="W38"/>
  <c r="J38"/>
  <c r="I38"/>
  <c r="H38"/>
  <c r="L38"/>
  <c r="J5"/>
  <c r="I5"/>
  <c r="L35"/>
</calcChain>
</file>

<file path=xl/sharedStrings.xml><?xml version="1.0" encoding="utf-8"?>
<sst xmlns="http://schemas.openxmlformats.org/spreadsheetml/2006/main" count="268" uniqueCount="69">
  <si>
    <t>Наименование доходов</t>
  </si>
  <si>
    <t>Доходы</t>
  </si>
  <si>
    <t>Налоги на совокупный доход</t>
  </si>
  <si>
    <t>Единый налог на вмененный доход</t>
  </si>
  <si>
    <t>Налоги на имущество</t>
  </si>
  <si>
    <t>Земельный налог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</si>
  <si>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</si>
  <si>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</si>
  <si>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</si>
  <si>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</si>
  <si>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</si>
  <si>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Задолженность по отмененным налогам</t>
  </si>
  <si>
    <t>Арендная плата за земли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</si>
  <si>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</si>
  <si>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</si>
  <si>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</si>
  <si>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</si>
  <si>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</si>
  <si>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зачисления</t>
  </si>
  <si>
    <t xml:space="preserve">Прочие неналоговые доходы </t>
  </si>
  <si>
    <t>Итого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</si>
  <si>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</si>
  <si>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</si>
  <si>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</si>
  <si>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муниципальных районов</t>
  </si>
  <si>
    <t>Доходы от сдачи в аренду имущества, находящегося в оперативном управлении органов местного самоуправления</t>
  </si>
  <si>
    <t>Платежи от государственных и муниципальных предприятий</t>
  </si>
  <si>
    <t>Д-ды от эксплуатации и использования имущества автом дорог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</si>
  <si>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</si>
  <si>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</si>
  <si>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</si>
  <si>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Кунгурский муниципальный район</t>
  </si>
  <si>
    <t>Сельские поселения</t>
  </si>
  <si>
    <t>План 1 квартала</t>
  </si>
  <si>
    <t xml:space="preserve"> 2013 год консолидированный</t>
  </si>
  <si>
    <t xml:space="preserve">Налог, взимаемый в связи с применением патентной системы </t>
  </si>
  <si>
    <t>Уточненный план на 2013 год</t>
  </si>
  <si>
    <t>% исп-я к ут плану</t>
  </si>
  <si>
    <t>Средства самообложения граждан</t>
  </si>
  <si>
    <t>Утверждено в бюджете</t>
  </si>
  <si>
    <t>% исп-я к утвержд. плану</t>
  </si>
  <si>
    <t>% исп-я к уточненн. Плану</t>
  </si>
  <si>
    <t>Факт на 01/01.2014</t>
  </si>
  <si>
    <t>Анализ выполнения доходной части консолидированного бюджета Кунгурского муниципального района на 01.01.2014</t>
  </si>
  <si>
    <t xml:space="preserve"> 2014 год консолидированный</t>
  </si>
  <si>
    <t xml:space="preserve">Акцизы на нефтепродукты </t>
  </si>
  <si>
    <t>Уточненный план</t>
  </si>
  <si>
    <t>План 9 месяцев</t>
  </si>
  <si>
    <t>Анализ выполнения доходной части консолидированного бюджета Кунгурского муниципального района на 01.01.2015</t>
  </si>
  <si>
    <t>Факт на 01/01.2015</t>
  </si>
  <si>
    <t>% исп-я к  ут.плану</t>
  </si>
  <si>
    <t>отклон.</t>
  </si>
  <si>
    <t>Анализ выполнения доходной части консолидированного бюджета Кунгурского муниципального района на 01.04.2015</t>
  </si>
  <si>
    <t xml:space="preserve"> 2015 год консолидированный</t>
  </si>
  <si>
    <t>Факт на 01/04.2015</t>
  </si>
  <si>
    <t>% исп-я к плану 1 квартала</t>
  </si>
  <si>
    <t>Анализ выполнения доходной части консолидированного бюджета Кунгурского муниципального района на 01.05.2015</t>
  </si>
  <si>
    <t>План 1 полугодия</t>
  </si>
  <si>
    <t>Факт на 01/05.2015</t>
  </si>
  <si>
    <t>% исп-я к плану 1 полугодия</t>
  </si>
  <si>
    <t>% исп-я к утверж.плану</t>
  </si>
  <si>
    <t>% исп-я к  уточн.плану</t>
  </si>
  <si>
    <t xml:space="preserve"> 2016 год консолидированный</t>
  </si>
  <si>
    <t>отклонение к уточненному плану</t>
  </si>
  <si>
    <t xml:space="preserve"> отклонение к уточненному плану </t>
  </si>
  <si>
    <t>Возмещение потерь сельскохозяйственного производства</t>
  </si>
  <si>
    <t xml:space="preserve">Факт на 01.07.2016 </t>
  </si>
  <si>
    <t>отклонение к 1 полугодию</t>
  </si>
  <si>
    <t>Анализ выполнения доходной части консолидированного бюджета Кунгурского муниципального района на 01.07.2016</t>
  </si>
</sst>
</file>

<file path=xl/styles.xml><?xml version="1.0" encoding="utf-8"?>
<styleSheet xmlns="http://schemas.openxmlformats.org/spreadsheetml/2006/main">
  <numFmts count="1">
    <numFmt numFmtId="187" formatCode="#,##0.0"/>
  </numFmts>
  <fonts count="11">
    <font>
      <sz val="10"/>
      <name val="Arial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4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3" fontId="0" fillId="0" borderId="0" xfId="0" applyNumberFormat="1"/>
    <xf numFmtId="0" fontId="1" fillId="0" borderId="0" xfId="0" applyFont="1" applyBorder="1" applyAlignment="1">
      <alignment vertical="center" wrapText="1"/>
    </xf>
    <xf numFmtId="0" fontId="3" fillId="0" borderId="0" xfId="0" applyFont="1"/>
    <xf numFmtId="3" fontId="3" fillId="0" borderId="0" xfId="0" applyNumberFormat="1" applyFont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3" xfId="0" applyFont="1" applyBorder="1" applyAlignment="1">
      <alignment horizontal="left"/>
    </xf>
    <xf numFmtId="3" fontId="5" fillId="0" borderId="3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wrapText="1"/>
    </xf>
    <xf numFmtId="3" fontId="5" fillId="2" borderId="5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/>
    <xf numFmtId="3" fontId="5" fillId="0" borderId="5" xfId="0" applyNumberFormat="1" applyFont="1" applyBorder="1" applyAlignment="1"/>
    <xf numFmtId="3" fontId="6" fillId="2" borderId="5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 wrapText="1"/>
    </xf>
    <xf numFmtId="4" fontId="5" fillId="3" borderId="4" xfId="0" applyNumberFormat="1" applyFont="1" applyFill="1" applyBorder="1" applyAlignment="1">
      <alignment horizontal="right" wrapText="1"/>
    </xf>
    <xf numFmtId="4" fontId="6" fillId="3" borderId="4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/>
    <xf numFmtId="4" fontId="6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5" fillId="0" borderId="6" xfId="0" applyNumberFormat="1" applyFont="1" applyBorder="1" applyAlignment="1"/>
    <xf numFmtId="4" fontId="5" fillId="2" borderId="3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4" fontId="5" fillId="2" borderId="5" xfId="0" applyNumberFormat="1" applyFont="1" applyFill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6" fillId="2" borderId="5" xfId="0" applyNumberFormat="1" applyFont="1" applyFill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5" fillId="2" borderId="5" xfId="0" applyNumberFormat="1" applyFont="1" applyFill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 wrapText="1"/>
    </xf>
    <xf numFmtId="4" fontId="5" fillId="0" borderId="6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5" fillId="4" borderId="3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4" fontId="5" fillId="4" borderId="5" xfId="0" applyNumberFormat="1" applyFont="1" applyFill="1" applyBorder="1" applyAlignment="1"/>
    <xf numFmtId="4" fontId="6" fillId="4" borderId="5" xfId="0" applyNumberFormat="1" applyFont="1" applyFill="1" applyBorder="1" applyAlignment="1">
      <alignment horizontal="right"/>
    </xf>
    <xf numFmtId="4" fontId="5" fillId="4" borderId="5" xfId="0" applyNumberFormat="1" applyFont="1" applyFill="1" applyBorder="1" applyAlignment="1">
      <alignment horizontal="right"/>
    </xf>
    <xf numFmtId="4" fontId="5" fillId="4" borderId="6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/>
    <xf numFmtId="4" fontId="6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/>
    <xf numFmtId="3" fontId="6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2" fillId="3" borderId="14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wrapText="1"/>
    </xf>
    <xf numFmtId="4" fontId="6" fillId="0" borderId="4" xfId="0" applyNumberFormat="1" applyFont="1" applyFill="1" applyBorder="1" applyAlignment="1">
      <alignment horizontal="right" wrapText="1"/>
    </xf>
    <xf numFmtId="4" fontId="5" fillId="0" borderId="5" xfId="0" applyNumberFormat="1" applyFont="1" applyFill="1" applyBorder="1" applyAlignment="1">
      <alignment wrapText="1"/>
    </xf>
    <xf numFmtId="4" fontId="6" fillId="0" borderId="5" xfId="0" applyNumberFormat="1" applyFont="1" applyFill="1" applyBorder="1" applyAlignment="1">
      <alignment horizontal="right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/>
    <xf numFmtId="4" fontId="6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/>
    <xf numFmtId="3" fontId="6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right"/>
    </xf>
    <xf numFmtId="3" fontId="5" fillId="5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/>
    <xf numFmtId="3" fontId="6" fillId="5" borderId="5" xfId="0" applyNumberFormat="1" applyFont="1" applyFill="1" applyBorder="1" applyAlignment="1">
      <alignment horizontal="right"/>
    </xf>
    <xf numFmtId="4" fontId="5" fillId="5" borderId="4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>
      <alignment horizontal="right"/>
    </xf>
    <xf numFmtId="4" fontId="5" fillId="5" borderId="6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4" fontId="5" fillId="5" borderId="17" xfId="0" applyNumberFormat="1" applyFont="1" applyFill="1" applyBorder="1" applyAlignment="1"/>
    <xf numFmtId="4" fontId="5" fillId="4" borderId="19" xfId="0" applyNumberFormat="1" applyFont="1" applyFill="1" applyBorder="1" applyAlignment="1"/>
    <xf numFmtId="4" fontId="5" fillId="0" borderId="20" xfId="0" applyNumberFormat="1" applyFont="1" applyBorder="1" applyAlignment="1"/>
    <xf numFmtId="4" fontId="6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/>
    <xf numFmtId="4" fontId="5" fillId="5" borderId="5" xfId="0" applyNumberFormat="1" applyFont="1" applyFill="1" applyBorder="1" applyAlignment="1">
      <alignment horizontal="right" wrapText="1"/>
    </xf>
    <xf numFmtId="4" fontId="5" fillId="6" borderId="3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5" fillId="0" borderId="4" xfId="0" applyNumberFormat="1" applyFont="1" applyBorder="1"/>
    <xf numFmtId="4" fontId="5" fillId="0" borderId="6" xfId="0" applyNumberFormat="1" applyFont="1" applyBorder="1"/>
    <xf numFmtId="3" fontId="5" fillId="5" borderId="3" xfId="0" applyNumberFormat="1" applyFont="1" applyFill="1" applyBorder="1" applyAlignment="1">
      <alignment horizontal="right"/>
    </xf>
    <xf numFmtId="4" fontId="5" fillId="5" borderId="4" xfId="0" applyNumberFormat="1" applyFont="1" applyFill="1" applyBorder="1"/>
    <xf numFmtId="3" fontId="5" fillId="0" borderId="7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87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4" fontId="6" fillId="0" borderId="4" xfId="0" applyNumberFormat="1" applyFont="1" applyBorder="1"/>
    <xf numFmtId="187" fontId="5" fillId="0" borderId="3" xfId="0" applyNumberFormat="1" applyFont="1" applyFill="1" applyBorder="1" applyAlignment="1">
      <alignment horizontal="right" wrapText="1"/>
    </xf>
    <xf numFmtId="187" fontId="6" fillId="0" borderId="3" xfId="0" applyNumberFormat="1" applyFont="1" applyFill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187" fontId="9" fillId="0" borderId="23" xfId="0" applyNumberFormat="1" applyFont="1" applyFill="1" applyBorder="1" applyAlignment="1">
      <alignment horizontal="right" wrapText="1"/>
    </xf>
    <xf numFmtId="187" fontId="9" fillId="0" borderId="23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right"/>
    </xf>
    <xf numFmtId="4" fontId="9" fillId="0" borderId="20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10" fillId="5" borderId="20" xfId="0" applyNumberFormat="1" applyFont="1" applyFill="1" applyBorder="1" applyAlignment="1">
      <alignment horizontal="right"/>
    </xf>
    <xf numFmtId="4" fontId="10" fillId="0" borderId="20" xfId="0" applyNumberFormat="1" applyFont="1" applyBorder="1" applyAlignment="1">
      <alignment horizontal="right" vertical="center" wrapText="1"/>
    </xf>
    <xf numFmtId="4" fontId="9" fillId="0" borderId="20" xfId="0" applyNumberFormat="1" applyFont="1" applyFill="1" applyBorder="1" applyAlignment="1"/>
    <xf numFmtId="4" fontId="10" fillId="0" borderId="20" xfId="0" applyNumberFormat="1" applyFont="1" applyBorder="1" applyAlignment="1">
      <alignment horizontal="right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9" fillId="5" borderId="2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 wrapText="1"/>
    </xf>
    <xf numFmtId="3" fontId="9" fillId="0" borderId="20" xfId="0" applyNumberFormat="1" applyFont="1" applyFill="1" applyBorder="1" applyAlignment="1">
      <alignment horizontal="right"/>
    </xf>
    <xf numFmtId="3" fontId="9" fillId="5" borderId="20" xfId="0" applyNumberFormat="1" applyFont="1" applyFill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5" borderId="2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 wrapText="1"/>
    </xf>
    <xf numFmtId="4" fontId="9" fillId="5" borderId="20" xfId="0" applyNumberFormat="1" applyFont="1" applyFill="1" applyBorder="1" applyAlignment="1">
      <alignment horizontal="right" wrapText="1"/>
    </xf>
    <xf numFmtId="3" fontId="9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4" fontId="9" fillId="0" borderId="20" xfId="0" applyNumberFormat="1" applyFont="1" applyFill="1" applyBorder="1" applyAlignment="1">
      <alignment horizontal="right" wrapText="1"/>
    </xf>
    <xf numFmtId="4" fontId="9" fillId="0" borderId="20" xfId="0" applyNumberFormat="1" applyFont="1" applyBorder="1" applyAlignment="1">
      <alignment horizontal="right" wrapText="1"/>
    </xf>
    <xf numFmtId="4" fontId="10" fillId="0" borderId="20" xfId="0" applyNumberFormat="1" applyFont="1" applyFill="1" applyBorder="1" applyAlignment="1">
      <alignment horizontal="right" wrapText="1"/>
    </xf>
    <xf numFmtId="4" fontId="9" fillId="0" borderId="20" xfId="0" applyNumberFormat="1" applyFont="1" applyFill="1" applyBorder="1" applyAlignment="1">
      <alignment wrapText="1"/>
    </xf>
    <xf numFmtId="4" fontId="9" fillId="0" borderId="20" xfId="0" applyNumberFormat="1" applyFont="1" applyBorder="1" applyAlignment="1">
      <alignment wrapText="1"/>
    </xf>
    <xf numFmtId="4" fontId="9" fillId="7" borderId="25" xfId="0" applyNumberFormat="1" applyFont="1" applyFill="1" applyBorder="1" applyAlignment="1">
      <alignment horizontal="right"/>
    </xf>
    <xf numFmtId="4" fontId="9" fillId="7" borderId="25" xfId="0" applyNumberFormat="1" applyFont="1" applyFill="1" applyBorder="1" applyAlignment="1">
      <alignment horizontal="right" wrapText="1"/>
    </xf>
    <xf numFmtId="0" fontId="3" fillId="8" borderId="0" xfId="0" applyFont="1" applyFill="1"/>
    <xf numFmtId="4" fontId="9" fillId="0" borderId="26" xfId="0" applyNumberFormat="1" applyFont="1" applyFill="1" applyBorder="1" applyAlignment="1">
      <alignment horizontal="right" wrapText="1"/>
    </xf>
    <xf numFmtId="4" fontId="9" fillId="5" borderId="26" xfId="0" applyNumberFormat="1" applyFont="1" applyFill="1" applyBorder="1" applyAlignment="1">
      <alignment horizontal="right" wrapText="1"/>
    </xf>
    <xf numFmtId="4" fontId="9" fillId="0" borderId="26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5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3" fontId="2" fillId="5" borderId="27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horizontal="right" wrapText="1"/>
    </xf>
    <xf numFmtId="4" fontId="9" fillId="5" borderId="31" xfId="0" applyNumberFormat="1" applyFont="1" applyFill="1" applyBorder="1" applyAlignment="1">
      <alignment horizontal="right" wrapText="1"/>
    </xf>
    <xf numFmtId="4" fontId="10" fillId="0" borderId="31" xfId="0" applyNumberFormat="1" applyFont="1" applyBorder="1" applyAlignment="1">
      <alignment horizontal="right" wrapText="1"/>
    </xf>
    <xf numFmtId="4" fontId="10" fillId="0" borderId="31" xfId="0" applyNumberFormat="1" applyFont="1" applyFill="1" applyBorder="1" applyAlignment="1">
      <alignment horizontal="right"/>
    </xf>
    <xf numFmtId="4" fontId="10" fillId="5" borderId="31" xfId="0" applyNumberFormat="1" applyFont="1" applyFill="1" applyBorder="1" applyAlignment="1">
      <alignment horizontal="right"/>
    </xf>
    <xf numFmtId="4" fontId="10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wrapText="1"/>
    </xf>
    <xf numFmtId="4" fontId="9" fillId="5" borderId="32" xfId="0" applyNumberFormat="1" applyFont="1" applyFill="1" applyBorder="1" applyAlignment="1">
      <alignment horizontal="right" wrapText="1"/>
    </xf>
    <xf numFmtId="4" fontId="9" fillId="0" borderId="32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4" fontId="5" fillId="0" borderId="20" xfId="0" applyNumberFormat="1" applyFont="1" applyBorder="1"/>
    <xf numFmtId="0" fontId="2" fillId="7" borderId="7" xfId="0" applyFont="1" applyFill="1" applyBorder="1" applyAlignment="1">
      <alignment horizontal="center" vertical="center" wrapText="1"/>
    </xf>
    <xf numFmtId="4" fontId="6" fillId="0" borderId="20" xfId="0" applyNumberFormat="1" applyFont="1" applyBorder="1"/>
    <xf numFmtId="4" fontId="9" fillId="0" borderId="33" xfId="0" applyNumberFormat="1" applyFont="1" applyFill="1" applyBorder="1" applyAlignment="1">
      <alignment horizontal="right"/>
    </xf>
    <xf numFmtId="4" fontId="6" fillId="0" borderId="31" xfId="0" applyNumberFormat="1" applyFont="1" applyBorder="1"/>
    <xf numFmtId="4" fontId="9" fillId="7" borderId="23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4" fontId="5" fillId="0" borderId="24" xfId="0" applyNumberFormat="1" applyFont="1" applyBorder="1"/>
    <xf numFmtId="4" fontId="5" fillId="0" borderId="32" xfId="0" applyNumberFormat="1" applyFont="1" applyBorder="1"/>
    <xf numFmtId="4" fontId="5" fillId="0" borderId="34" xfId="0" applyNumberFormat="1" applyFont="1" applyBorder="1"/>
    <xf numFmtId="4" fontId="5" fillId="0" borderId="35" xfId="0" applyNumberFormat="1" applyFont="1" applyBorder="1"/>
    <xf numFmtId="4" fontId="6" fillId="0" borderId="35" xfId="0" applyNumberFormat="1" applyFont="1" applyBorder="1"/>
    <xf numFmtId="4" fontId="6" fillId="0" borderId="36" xfId="0" applyNumberFormat="1" applyFont="1" applyBorder="1"/>
    <xf numFmtId="4" fontId="9" fillId="0" borderId="26" xfId="0" applyNumberFormat="1" applyFont="1" applyBorder="1" applyAlignment="1">
      <alignment horizontal="right"/>
    </xf>
    <xf numFmtId="4" fontId="5" fillId="0" borderId="26" xfId="0" applyNumberFormat="1" applyFont="1" applyBorder="1"/>
    <xf numFmtId="4" fontId="5" fillId="0" borderId="37" xfId="0" applyNumberFormat="1" applyFont="1" applyBorder="1"/>
    <xf numFmtId="0" fontId="2" fillId="0" borderId="25" xfId="0" applyFont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right" wrapText="1"/>
    </xf>
    <xf numFmtId="4" fontId="9" fillId="0" borderId="38" xfId="0" applyNumberFormat="1" applyFont="1" applyFill="1" applyBorder="1" applyAlignment="1">
      <alignment horizontal="right"/>
    </xf>
    <xf numFmtId="4" fontId="9" fillId="0" borderId="39" xfId="0" applyNumberFormat="1" applyFont="1" applyFill="1" applyBorder="1" applyAlignment="1">
      <alignment horizontal="right" wrapText="1"/>
    </xf>
    <xf numFmtId="4" fontId="9" fillId="0" borderId="34" xfId="0" applyNumberFormat="1" applyFont="1" applyFill="1" applyBorder="1" applyAlignment="1">
      <alignment horizontal="right" wrapText="1"/>
    </xf>
    <xf numFmtId="4" fontId="9" fillId="7" borderId="20" xfId="0" applyNumberFormat="1" applyFont="1" applyFill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4" fontId="9" fillId="7" borderId="20" xfId="0" applyNumberFormat="1" applyFont="1" applyFill="1" applyBorder="1" applyAlignment="1">
      <alignment horizontal="right" vertical="center" wrapText="1"/>
    </xf>
    <xf numFmtId="4" fontId="10" fillId="7" borderId="20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4" fontId="10" fillId="7" borderId="20" xfId="0" applyNumberFormat="1" applyFont="1" applyFill="1" applyBorder="1" applyAlignment="1">
      <alignment horizontal="right" vertical="center" wrapText="1"/>
    </xf>
    <xf numFmtId="4" fontId="9" fillId="7" borderId="20" xfId="0" applyNumberFormat="1" applyFont="1" applyFill="1" applyBorder="1" applyAlignment="1"/>
    <xf numFmtId="4" fontId="10" fillId="7" borderId="20" xfId="0" applyNumberFormat="1" applyFont="1" applyFill="1" applyBorder="1" applyAlignment="1">
      <alignment horizontal="right" wrapText="1"/>
    </xf>
    <xf numFmtId="4" fontId="9" fillId="7" borderId="20" xfId="0" applyNumberFormat="1" applyFont="1" applyFill="1" applyBorder="1" applyAlignment="1">
      <alignment horizontal="right" wrapText="1"/>
    </xf>
    <xf numFmtId="187" fontId="9" fillId="0" borderId="20" xfId="0" applyNumberFormat="1" applyFont="1" applyFill="1" applyBorder="1" applyAlignment="1">
      <alignment horizontal="right" wrapText="1"/>
    </xf>
    <xf numFmtId="187" fontId="9" fillId="0" borderId="20" xfId="0" applyNumberFormat="1" applyFont="1" applyBorder="1" applyAlignment="1">
      <alignment horizontal="right"/>
    </xf>
    <xf numFmtId="187" fontId="10" fillId="0" borderId="20" xfId="0" applyNumberFormat="1" applyFont="1" applyFill="1" applyBorder="1" applyAlignment="1">
      <alignment horizontal="right" wrapText="1"/>
    </xf>
    <xf numFmtId="4" fontId="9" fillId="7" borderId="26" xfId="0" applyNumberFormat="1" applyFont="1" applyFill="1" applyBorder="1" applyAlignment="1">
      <alignment horizontal="right" wrapText="1"/>
    </xf>
    <xf numFmtId="187" fontId="9" fillId="0" borderId="26" xfId="0" applyNumberFormat="1" applyFont="1" applyFill="1" applyBorder="1" applyAlignment="1">
      <alignment horizontal="right" wrapText="1"/>
    </xf>
    <xf numFmtId="4" fontId="9" fillId="7" borderId="26" xfId="0" applyNumberFormat="1" applyFont="1" applyFill="1" applyBorder="1" applyAlignment="1">
      <alignment horizontal="right"/>
    </xf>
    <xf numFmtId="187" fontId="9" fillId="0" borderId="26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4" fontId="10" fillId="7" borderId="31" xfId="0" applyNumberFormat="1" applyFont="1" applyFill="1" applyBorder="1" applyAlignment="1">
      <alignment horizontal="right" wrapText="1"/>
    </xf>
    <xf numFmtId="187" fontId="10" fillId="0" borderId="31" xfId="0" applyNumberFormat="1" applyFont="1" applyFill="1" applyBorder="1" applyAlignment="1">
      <alignment horizontal="right" wrapText="1"/>
    </xf>
    <xf numFmtId="4" fontId="10" fillId="7" borderId="31" xfId="0" applyNumberFormat="1" applyFont="1" applyFill="1" applyBorder="1" applyAlignment="1">
      <alignment horizontal="right"/>
    </xf>
    <xf numFmtId="187" fontId="9" fillId="0" borderId="31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4" fontId="10" fillId="7" borderId="31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4" fontId="5" fillId="0" borderId="31" xfId="0" applyNumberFormat="1" applyFont="1" applyBorder="1"/>
    <xf numFmtId="4" fontId="9" fillId="0" borderId="32" xfId="0" applyNumberFormat="1" applyFont="1" applyBorder="1" applyAlignment="1">
      <alignment horizontal="right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topLeftCell="A2" zoomScale="60" zoomScaleNormal="100" workbookViewId="0">
      <selection activeCell="A2" sqref="A1:IV65536"/>
    </sheetView>
  </sheetViews>
  <sheetFormatPr defaultRowHeight="12.75"/>
  <cols>
    <col min="1" max="1" width="67.28515625" customWidth="1"/>
    <col min="2" max="2" width="13.5703125" style="1" customWidth="1"/>
    <col min="3" max="3" width="14.7109375" customWidth="1"/>
    <col min="4" max="4" width="15.140625" customWidth="1"/>
    <col min="5" max="5" width="9.28515625" customWidth="1"/>
    <col min="6" max="6" width="10.85546875" customWidth="1"/>
    <col min="7" max="7" width="51.85546875" customWidth="1"/>
    <col min="8" max="9" width="14.42578125" customWidth="1"/>
    <col min="10" max="10" width="14.28515625" customWidth="1"/>
    <col min="11" max="11" width="7.140625" customWidth="1"/>
    <col min="12" max="12" width="7.85546875" customWidth="1"/>
    <col min="13" max="13" width="13.7109375" customWidth="1"/>
    <col min="14" max="14" width="13.42578125" customWidth="1"/>
    <col min="15" max="15" width="13.28515625" customWidth="1"/>
    <col min="16" max="17" width="7.85546875" customWidth="1"/>
  </cols>
  <sheetData>
    <row r="1" spans="1:18" hidden="1"/>
    <row r="2" spans="1:18" ht="20.25" customHeight="1" thickBot="1">
      <c r="A2" s="293" t="s">
        <v>43</v>
      </c>
      <c r="B2" s="293"/>
      <c r="C2" s="293"/>
      <c r="D2" s="293"/>
      <c r="E2" s="293"/>
      <c r="F2" s="293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ht="13.5" thickBot="1">
      <c r="A3" s="294" t="s">
        <v>0</v>
      </c>
      <c r="B3" s="288" t="s">
        <v>34</v>
      </c>
      <c r="C3" s="289"/>
      <c r="D3" s="289"/>
      <c r="E3" s="289"/>
      <c r="F3" s="289"/>
      <c r="G3" s="294" t="s">
        <v>0</v>
      </c>
      <c r="H3" s="288" t="s">
        <v>31</v>
      </c>
      <c r="I3" s="289"/>
      <c r="J3" s="289"/>
      <c r="K3" s="289"/>
      <c r="L3" s="289"/>
      <c r="M3" s="290" t="s">
        <v>32</v>
      </c>
      <c r="N3" s="291"/>
      <c r="O3" s="291"/>
      <c r="P3" s="291"/>
      <c r="Q3" s="292"/>
    </row>
    <row r="4" spans="1:18" ht="74.25" customHeight="1" thickBot="1">
      <c r="A4" s="295"/>
      <c r="B4" s="8" t="s">
        <v>39</v>
      </c>
      <c r="C4" s="63" t="s">
        <v>36</v>
      </c>
      <c r="D4" s="10" t="s">
        <v>42</v>
      </c>
      <c r="E4" s="9" t="s">
        <v>40</v>
      </c>
      <c r="F4" s="9" t="s">
        <v>41</v>
      </c>
      <c r="G4" s="295"/>
      <c r="H4" s="8" t="str">
        <f>B4</f>
        <v>Утверждено в бюджете</v>
      </c>
      <c r="I4" s="9" t="str">
        <f>C4</f>
        <v>Уточненный план на 2013 год</v>
      </c>
      <c r="J4" s="89" t="str">
        <f>D4</f>
        <v>Факт на 01/01.2014</v>
      </c>
      <c r="K4" s="9" t="s">
        <v>37</v>
      </c>
      <c r="L4" s="9" t="str">
        <f>F4</f>
        <v>% исп-я к уточненн. Плану</v>
      </c>
      <c r="M4" s="8" t="str">
        <f>H4</f>
        <v>Утверждено в бюджете</v>
      </c>
      <c r="N4" s="71" t="str">
        <f>I4</f>
        <v>Уточненный план на 2013 год</v>
      </c>
      <c r="O4" s="10" t="str">
        <f>J4</f>
        <v>Факт на 01/01.2014</v>
      </c>
      <c r="P4" s="9" t="str">
        <f>K4</f>
        <v>% исп-я к ут плану</v>
      </c>
      <c r="Q4" s="9" t="str">
        <f>L4</f>
        <v>% исп-я к уточненн. Плану</v>
      </c>
      <c r="R4" s="2"/>
    </row>
    <row r="5" spans="1:18" ht="16.5">
      <c r="A5" s="12" t="s">
        <v>1</v>
      </c>
      <c r="B5" s="50">
        <f>B6+B7+B11+B18+B19+B20+B26+B27+B28+B31+B32</f>
        <v>236951325</v>
      </c>
      <c r="C5" s="51">
        <f>C6+C7+C11+C18+C19+C20+C26+C27+C28+C31+C32</f>
        <v>282959974.94000006</v>
      </c>
      <c r="D5" s="33">
        <f>D6+D7+D11+D18+D19+D20+D26+D27+D28+D31+D32</f>
        <v>303424703.55999994</v>
      </c>
      <c r="E5" s="13">
        <f>D5/B5*100</f>
        <v>128.05360069626113</v>
      </c>
      <c r="F5" s="13">
        <f>D5/C5*100</f>
        <v>107.23237575361651</v>
      </c>
      <c r="G5" s="12" t="s">
        <v>1</v>
      </c>
      <c r="H5" s="40">
        <f>H6+H7+H11+H18+H19+H20+H26+H27+H28+H31+H32</f>
        <v>148105387</v>
      </c>
      <c r="I5" s="72">
        <f>I6+I7+I11+I18+I19+I20+I26+I27+I28+I31+I32</f>
        <v>172250077.83000001</v>
      </c>
      <c r="J5" s="90">
        <f>J6+J7+J11+J18+J19+J20+J26+J27+J28+J31+J32</f>
        <v>185923970.84999996</v>
      </c>
      <c r="K5" s="21">
        <f>J5/H5*100</f>
        <v>125.53491443900009</v>
      </c>
      <c r="L5" s="21">
        <f>J5/I5*100</f>
        <v>107.93839584414889</v>
      </c>
      <c r="M5" s="40">
        <f>M6+M7+M11+M18+M19+M20+M26+M27+M28+M31+M32</f>
        <v>88845938</v>
      </c>
      <c r="N5" s="72">
        <f>N6+N7+N11+N18+N19+N20+N26+N27+N28+N31+N32</f>
        <v>110709897.11</v>
      </c>
      <c r="O5" s="65">
        <f>O6+O7+O11+O18+O19+O20+O26+O27+O28+O31+O32</f>
        <v>117500732.71000001</v>
      </c>
      <c r="P5" s="21">
        <f>O5/M5*100</f>
        <v>132.25222824480733</v>
      </c>
      <c r="Q5" s="21">
        <f>O5/N5*100</f>
        <v>106.13390110303573</v>
      </c>
    </row>
    <row r="6" spans="1:18" ht="16.5">
      <c r="A6" s="14" t="s">
        <v>28</v>
      </c>
      <c r="B6" s="52">
        <f>H6+M6</f>
        <v>112355193</v>
      </c>
      <c r="C6" s="47">
        <f>I6+N6</f>
        <v>112911864.53</v>
      </c>
      <c r="D6" s="34">
        <f>J6+O6</f>
        <v>113027305.02</v>
      </c>
      <c r="E6" s="13">
        <f t="shared" ref="E6:E36" si="0">D6/B6*100</f>
        <v>100.59820289748423</v>
      </c>
      <c r="F6" s="13">
        <f t="shared" ref="F6:F36" si="1">D6/C6*100</f>
        <v>100.10223946835039</v>
      </c>
      <c r="G6" s="14" t="s">
        <v>28</v>
      </c>
      <c r="H6" s="22">
        <v>92457200</v>
      </c>
      <c r="I6" s="82">
        <v>92457200</v>
      </c>
      <c r="J6" s="81">
        <v>92511601.549999997</v>
      </c>
      <c r="K6" s="21">
        <f>J6/H6*100</f>
        <v>100.05883971178015</v>
      </c>
      <c r="L6" s="21">
        <f>J6/I6*100</f>
        <v>100.05883971178015</v>
      </c>
      <c r="M6" s="41">
        <v>19897993</v>
      </c>
      <c r="N6" s="73">
        <v>20454664.530000001</v>
      </c>
      <c r="O6" s="81">
        <v>20515703.469999999</v>
      </c>
      <c r="P6" s="21">
        <f>O6/M6*100</f>
        <v>103.10438580413613</v>
      </c>
      <c r="Q6" s="21">
        <f>O6/N6*100</f>
        <v>100.29841085836668</v>
      </c>
    </row>
    <row r="7" spans="1:18" ht="16.5">
      <c r="A7" s="14" t="s">
        <v>2</v>
      </c>
      <c r="B7" s="52">
        <f>B8+B10</f>
        <v>9504519</v>
      </c>
      <c r="C7" s="47">
        <f>C8+C10</f>
        <v>10821940.51</v>
      </c>
      <c r="D7" s="34">
        <f>D8+D10+D9</f>
        <v>11388153.83</v>
      </c>
      <c r="E7" s="13">
        <f t="shared" si="0"/>
        <v>119.81830779653342</v>
      </c>
      <c r="F7" s="13">
        <f t="shared" si="1"/>
        <v>105.23208679142888</v>
      </c>
      <c r="G7" s="14" t="s">
        <v>2</v>
      </c>
      <c r="H7" s="22">
        <f>H8+H10</f>
        <v>8968486</v>
      </c>
      <c r="I7" s="83">
        <f>I8+I10</f>
        <v>8968486</v>
      </c>
      <c r="J7" s="32">
        <f>J8+J9</f>
        <v>9365929.2699999996</v>
      </c>
      <c r="K7" s="21">
        <f>J7/H7*100</f>
        <v>104.43155366468766</v>
      </c>
      <c r="L7" s="21">
        <f>J7/I7*100</f>
        <v>104.43155366468766</v>
      </c>
      <c r="M7" s="41">
        <f>M8+M10</f>
        <v>536033</v>
      </c>
      <c r="N7" s="74">
        <f>N8+N10</f>
        <v>1853454.51</v>
      </c>
      <c r="O7" s="32">
        <f>O8+O10</f>
        <v>2022224.56</v>
      </c>
      <c r="P7" s="21">
        <f>O7/M7*100</f>
        <v>377.25747481964731</v>
      </c>
      <c r="Q7" s="21">
        <f>O7/N7*100</f>
        <v>109.10570230288523</v>
      </c>
    </row>
    <row r="8" spans="1:18" ht="16.5">
      <c r="A8" s="15" t="s">
        <v>3</v>
      </c>
      <c r="B8" s="53">
        <f t="shared" ref="B8:D10" si="2">H8+M8</f>
        <v>8968486</v>
      </c>
      <c r="C8" s="54">
        <f t="shared" si="2"/>
        <v>8968486</v>
      </c>
      <c r="D8" s="35">
        <f t="shared" si="2"/>
        <v>9022072.4800000004</v>
      </c>
      <c r="E8" s="13">
        <f t="shared" si="0"/>
        <v>100.59749750403803</v>
      </c>
      <c r="F8" s="13">
        <f t="shared" si="1"/>
        <v>100.59749750403803</v>
      </c>
      <c r="G8" s="15" t="s">
        <v>3</v>
      </c>
      <c r="H8" s="24">
        <v>8968486</v>
      </c>
      <c r="I8" s="84">
        <v>8968486</v>
      </c>
      <c r="J8" s="91">
        <v>9022072.4800000004</v>
      </c>
      <c r="K8" s="21">
        <f>J8/H8*100</f>
        <v>100.59749750403803</v>
      </c>
      <c r="L8" s="21">
        <f>J8/I8*100</f>
        <v>100.59749750403803</v>
      </c>
      <c r="M8" s="41">
        <f>N8+O8+P8+Q8</f>
        <v>0</v>
      </c>
      <c r="N8" s="75">
        <v>0</v>
      </c>
      <c r="O8" s="66">
        <v>0</v>
      </c>
      <c r="P8" s="25">
        <v>0</v>
      </c>
      <c r="Q8" s="25">
        <v>0</v>
      </c>
    </row>
    <row r="9" spans="1:18" ht="16.5">
      <c r="A9" s="15" t="s">
        <v>35</v>
      </c>
      <c r="B9" s="53">
        <f t="shared" si="2"/>
        <v>0</v>
      </c>
      <c r="C9" s="54">
        <f t="shared" si="2"/>
        <v>0</v>
      </c>
      <c r="D9" s="35">
        <f t="shared" si="2"/>
        <v>343856.79</v>
      </c>
      <c r="E9" s="13"/>
      <c r="F9" s="13"/>
      <c r="G9" s="15" t="str">
        <f>A9</f>
        <v xml:space="preserve">Налог, взимаемый в связи с применением патентной системы </v>
      </c>
      <c r="H9" s="24">
        <v>0</v>
      </c>
      <c r="I9" s="84">
        <v>0</v>
      </c>
      <c r="J9" s="91">
        <v>343856.79</v>
      </c>
      <c r="K9" s="21"/>
      <c r="L9" s="21"/>
      <c r="M9" s="41"/>
      <c r="N9" s="75"/>
      <c r="O9" s="66"/>
      <c r="P9" s="25"/>
      <c r="Q9" s="25"/>
    </row>
    <row r="10" spans="1:18" ht="16.5">
      <c r="A10" s="15" t="s">
        <v>29</v>
      </c>
      <c r="B10" s="53">
        <f t="shared" si="2"/>
        <v>536033</v>
      </c>
      <c r="C10" s="54">
        <f t="shared" si="2"/>
        <v>1853454.51</v>
      </c>
      <c r="D10" s="35">
        <f t="shared" si="2"/>
        <v>2022224.56</v>
      </c>
      <c r="E10" s="13">
        <f t="shared" si="0"/>
        <v>377.25747481964731</v>
      </c>
      <c r="F10" s="13">
        <f t="shared" si="1"/>
        <v>109.10570230288523</v>
      </c>
      <c r="G10" s="15" t="s">
        <v>29</v>
      </c>
      <c r="H10" s="24">
        <v>0</v>
      </c>
      <c r="I10" s="84">
        <v>0</v>
      </c>
      <c r="J10" s="66">
        <v>0</v>
      </c>
      <c r="K10" s="21"/>
      <c r="L10" s="21"/>
      <c r="M10" s="42">
        <v>536033</v>
      </c>
      <c r="N10" s="94">
        <v>1853454.51</v>
      </c>
      <c r="O10" s="91">
        <v>2022224.56</v>
      </c>
      <c r="P10" s="25">
        <f>O10/M10*100</f>
        <v>377.25747481964731</v>
      </c>
      <c r="Q10" s="25">
        <f>O10/N10*100</f>
        <v>109.10570230288523</v>
      </c>
    </row>
    <row r="11" spans="1:18" ht="16.5">
      <c r="A11" s="14" t="s">
        <v>4</v>
      </c>
      <c r="B11" s="52">
        <f>B12+B13+B14+B15</f>
        <v>50918833</v>
      </c>
      <c r="C11" s="47">
        <f>C12+C13+C14+C15</f>
        <v>51142645.870000005</v>
      </c>
      <c r="D11" s="34">
        <f>D12+D13+D14+D15</f>
        <v>53197156.600000001</v>
      </c>
      <c r="E11" s="13">
        <f t="shared" si="0"/>
        <v>104.47442226336963</v>
      </c>
      <c r="F11" s="13">
        <f t="shared" si="1"/>
        <v>104.01721634665202</v>
      </c>
      <c r="G11" s="14" t="s">
        <v>4</v>
      </c>
      <c r="H11" s="22">
        <f>H12+H13+H14+H15</f>
        <v>14316000</v>
      </c>
      <c r="I11" s="82">
        <f>I12+I13+I14+I15</f>
        <v>14406000</v>
      </c>
      <c r="J11" s="32">
        <f>J12+J13+J14+J15</f>
        <v>15375209.560000001</v>
      </c>
      <c r="K11" s="23">
        <f>J11/H11*100</f>
        <v>107.39878150321319</v>
      </c>
      <c r="L11" s="21">
        <f>J11/I11*100</f>
        <v>106.72781868665835</v>
      </c>
      <c r="M11" s="41">
        <f>M12+M13+M14+M15</f>
        <v>36602833</v>
      </c>
      <c r="N11" s="76">
        <f>N12+N13+N14+N15</f>
        <v>36736645.870000005</v>
      </c>
      <c r="O11" s="32">
        <f>O12+O13+O14+O15</f>
        <v>37821947.040000007</v>
      </c>
      <c r="P11" s="25">
        <f>O11/M11*100</f>
        <v>103.33065487034845</v>
      </c>
      <c r="Q11" s="25">
        <f>O11/N11*100</f>
        <v>102.95427397983082</v>
      </c>
    </row>
    <row r="12" spans="1:18" ht="16.5">
      <c r="A12" s="15" t="s">
        <v>30</v>
      </c>
      <c r="B12" s="53">
        <f t="shared" ref="B12:D14" si="3">H12+M12</f>
        <v>5007733</v>
      </c>
      <c r="C12" s="54">
        <f t="shared" si="3"/>
        <v>4528178</v>
      </c>
      <c r="D12" s="35">
        <f t="shared" si="3"/>
        <v>4421315.41</v>
      </c>
      <c r="E12" s="13">
        <f t="shared" si="0"/>
        <v>88.289759258331074</v>
      </c>
      <c r="F12" s="13">
        <f t="shared" si="1"/>
        <v>97.640053239956558</v>
      </c>
      <c r="G12" s="15" t="s">
        <v>30</v>
      </c>
      <c r="H12" s="24">
        <f>I12+J12+K12+L12</f>
        <v>0</v>
      </c>
      <c r="I12" s="84">
        <v>0</v>
      </c>
      <c r="J12" s="66">
        <v>0</v>
      </c>
      <c r="K12" s="23">
        <v>0</v>
      </c>
      <c r="L12" s="25">
        <v>0</v>
      </c>
      <c r="M12" s="42">
        <v>5007733</v>
      </c>
      <c r="N12" s="94">
        <v>4528178</v>
      </c>
      <c r="O12" s="91">
        <v>4421315.41</v>
      </c>
      <c r="P12" s="25">
        <f>O12/M12*100</f>
        <v>88.289759258331074</v>
      </c>
      <c r="Q12" s="25">
        <f>O12/N12*100</f>
        <v>97.640053239956558</v>
      </c>
    </row>
    <row r="13" spans="1:18" ht="16.5">
      <c r="A13" s="15" t="s">
        <v>5</v>
      </c>
      <c r="B13" s="53">
        <f t="shared" si="3"/>
        <v>18071123</v>
      </c>
      <c r="C13" s="54">
        <f t="shared" si="3"/>
        <v>18134136.370000001</v>
      </c>
      <c r="D13" s="35">
        <f t="shared" si="3"/>
        <v>18025433.850000001</v>
      </c>
      <c r="E13" s="13">
        <f t="shared" si="0"/>
        <v>99.74717038891275</v>
      </c>
      <c r="F13" s="13">
        <f t="shared" si="1"/>
        <v>99.400564119613492</v>
      </c>
      <c r="G13" s="15" t="s">
        <v>5</v>
      </c>
      <c r="H13" s="24">
        <f>I13+J13+K13+L13</f>
        <v>0</v>
      </c>
      <c r="I13" s="84">
        <v>0</v>
      </c>
      <c r="J13" s="66">
        <v>0</v>
      </c>
      <c r="K13" s="23">
        <v>0</v>
      </c>
      <c r="L13" s="25">
        <v>0</v>
      </c>
      <c r="M13" s="42">
        <v>18071123</v>
      </c>
      <c r="N13" s="94">
        <v>18134136.370000001</v>
      </c>
      <c r="O13" s="91">
        <v>18025433.850000001</v>
      </c>
      <c r="P13" s="25">
        <f>O13/M13*100</f>
        <v>99.74717038891275</v>
      </c>
      <c r="Q13" s="25">
        <f>O13/N13*100</f>
        <v>99.400564119613492</v>
      </c>
    </row>
    <row r="14" spans="1:18" ht="16.5">
      <c r="A14" s="15" t="s">
        <v>6</v>
      </c>
      <c r="B14" s="53">
        <f t="shared" si="3"/>
        <v>0</v>
      </c>
      <c r="C14" s="54">
        <f t="shared" si="3"/>
        <v>0</v>
      </c>
      <c r="D14" s="35">
        <f t="shared" si="3"/>
        <v>0</v>
      </c>
      <c r="E14" s="13"/>
      <c r="F14" s="13"/>
      <c r="G14" s="15" t="s">
        <v>6</v>
      </c>
      <c r="H14" s="24">
        <v>0</v>
      </c>
      <c r="I14" s="84">
        <v>0</v>
      </c>
      <c r="J14" s="66">
        <v>0</v>
      </c>
      <c r="K14" s="23"/>
      <c r="L14" s="25"/>
      <c r="M14" s="42">
        <f>N14+O14+P14+Q14</f>
        <v>0</v>
      </c>
      <c r="N14" s="75">
        <v>0</v>
      </c>
      <c r="O14" s="66">
        <v>0</v>
      </c>
      <c r="P14" s="25">
        <v>0</v>
      </c>
      <c r="Q14" s="25">
        <v>0</v>
      </c>
    </row>
    <row r="15" spans="1:18" ht="16.5">
      <c r="A15" s="14" t="s">
        <v>7</v>
      </c>
      <c r="B15" s="52">
        <f>B16+B17</f>
        <v>27839977</v>
      </c>
      <c r="C15" s="47">
        <f>C16+C17</f>
        <v>28480331.5</v>
      </c>
      <c r="D15" s="34">
        <f>D16+D17</f>
        <v>30750407.34</v>
      </c>
      <c r="E15" s="13">
        <f t="shared" si="0"/>
        <v>110.45414060507306</v>
      </c>
      <c r="F15" s="13">
        <f t="shared" si="1"/>
        <v>107.97067913342231</v>
      </c>
      <c r="G15" s="14" t="s">
        <v>7</v>
      </c>
      <c r="H15" s="22">
        <f>H16+H17</f>
        <v>14316000</v>
      </c>
      <c r="I15" s="82">
        <f>I16+I17</f>
        <v>14406000</v>
      </c>
      <c r="J15" s="32">
        <f>J16+J17</f>
        <v>15375209.560000001</v>
      </c>
      <c r="K15" s="23">
        <f>J15/H15*100</f>
        <v>107.39878150321319</v>
      </c>
      <c r="L15" s="25">
        <f>J15/I15*100</f>
        <v>106.72781868665835</v>
      </c>
      <c r="M15" s="41">
        <f>M16+M17</f>
        <v>13523977</v>
      </c>
      <c r="N15" s="76">
        <f>N16+N17</f>
        <v>14074331.5</v>
      </c>
      <c r="O15" s="32">
        <f>O16+O17</f>
        <v>15375197.780000001</v>
      </c>
      <c r="P15" s="23">
        <f>O15/M15*100</f>
        <v>113.68843484427696</v>
      </c>
      <c r="Q15" s="23">
        <f>O15/N15*100</f>
        <v>109.24282819400695</v>
      </c>
    </row>
    <row r="16" spans="1:18" ht="16.5">
      <c r="A16" s="15" t="s">
        <v>8</v>
      </c>
      <c r="B16" s="53">
        <f t="shared" ref="B16:D19" si="4">H16+M16</f>
        <v>4084371</v>
      </c>
      <c r="C16" s="54">
        <f t="shared" si="4"/>
        <v>4347923.5</v>
      </c>
      <c r="D16" s="35">
        <f t="shared" si="4"/>
        <v>4522262.54</v>
      </c>
      <c r="E16" s="13">
        <f t="shared" si="0"/>
        <v>110.72114996409483</v>
      </c>
      <c r="F16" s="13">
        <f t="shared" si="1"/>
        <v>104.00970808249042</v>
      </c>
      <c r="G16" s="15" t="s">
        <v>8</v>
      </c>
      <c r="H16" s="24">
        <v>2053500</v>
      </c>
      <c r="I16" s="85">
        <v>2143500</v>
      </c>
      <c r="J16" s="91">
        <v>2261131.48</v>
      </c>
      <c r="K16" s="23">
        <f>J16/H16*100</f>
        <v>110.11110202093985</v>
      </c>
      <c r="L16" s="25">
        <f>J16/I16*100</f>
        <v>105.48782271985071</v>
      </c>
      <c r="M16" s="42">
        <v>2030871</v>
      </c>
      <c r="N16" s="94">
        <v>2204423.5</v>
      </c>
      <c r="O16" s="91">
        <v>2261131.06</v>
      </c>
      <c r="P16" s="23">
        <f>O16/M16*100</f>
        <v>111.33799537242888</v>
      </c>
      <c r="Q16" s="23">
        <f>O16/N16*100</f>
        <v>102.57244399726278</v>
      </c>
    </row>
    <row r="17" spans="1:17" ht="16.5">
      <c r="A17" s="15" t="s">
        <v>9</v>
      </c>
      <c r="B17" s="53">
        <f t="shared" si="4"/>
        <v>23755606</v>
      </c>
      <c r="C17" s="54">
        <f t="shared" si="4"/>
        <v>24132408</v>
      </c>
      <c r="D17" s="35">
        <f t="shared" si="4"/>
        <v>26228144.800000001</v>
      </c>
      <c r="E17" s="13">
        <f t="shared" si="0"/>
        <v>110.40823290300403</v>
      </c>
      <c r="F17" s="13">
        <f t="shared" si="1"/>
        <v>108.6843252442939</v>
      </c>
      <c r="G17" s="15" t="s">
        <v>9</v>
      </c>
      <c r="H17" s="24">
        <v>12262500</v>
      </c>
      <c r="I17" s="84">
        <v>12262500</v>
      </c>
      <c r="J17" s="91">
        <v>13114078.08</v>
      </c>
      <c r="K17" s="23">
        <f>J17/H17*100</f>
        <v>106.94457149847094</v>
      </c>
      <c r="L17" s="25">
        <f>J17/I17*100</f>
        <v>106.94457149847094</v>
      </c>
      <c r="M17" s="42">
        <v>11493106</v>
      </c>
      <c r="N17" s="94">
        <v>11869908</v>
      </c>
      <c r="O17" s="91">
        <v>13114066.720000001</v>
      </c>
      <c r="P17" s="23">
        <f>O17/M17*100</f>
        <v>114.10376550951501</v>
      </c>
      <c r="Q17" s="23">
        <f>O17/N17*100</f>
        <v>110.4816205820635</v>
      </c>
    </row>
    <row r="18" spans="1:17" ht="16.5">
      <c r="A18" s="14" t="s">
        <v>10</v>
      </c>
      <c r="B18" s="52">
        <f t="shared" si="4"/>
        <v>824779</v>
      </c>
      <c r="C18" s="47">
        <f t="shared" si="4"/>
        <v>919288</v>
      </c>
      <c r="D18" s="34">
        <f t="shared" si="4"/>
        <v>1156918.94</v>
      </c>
      <c r="E18" s="13">
        <f t="shared" si="0"/>
        <v>140.27017419211691</v>
      </c>
      <c r="F18" s="13">
        <f t="shared" si="1"/>
        <v>125.84945523056975</v>
      </c>
      <c r="G18" s="14" t="s">
        <v>10</v>
      </c>
      <c r="H18" s="24">
        <v>299976</v>
      </c>
      <c r="I18" s="85">
        <v>417026</v>
      </c>
      <c r="J18" s="91">
        <v>693401.44</v>
      </c>
      <c r="K18" s="23">
        <f>J18/H18*100</f>
        <v>231.15230551777475</v>
      </c>
      <c r="L18" s="25">
        <f>J18/I18*100</f>
        <v>166.27295180636219</v>
      </c>
      <c r="M18" s="41">
        <v>524803</v>
      </c>
      <c r="N18" s="73">
        <v>502262</v>
      </c>
      <c r="O18" s="81">
        <v>463517.5</v>
      </c>
      <c r="P18" s="23">
        <f>O18/M18*100</f>
        <v>88.322189469191287</v>
      </c>
      <c r="Q18" s="23">
        <f>O18/N18*100</f>
        <v>92.285998144394753</v>
      </c>
    </row>
    <row r="19" spans="1:17" ht="16.5">
      <c r="A19" s="14" t="s">
        <v>11</v>
      </c>
      <c r="B19" s="53">
        <f t="shared" si="4"/>
        <v>0</v>
      </c>
      <c r="C19" s="47">
        <f t="shared" si="4"/>
        <v>0</v>
      </c>
      <c r="D19" s="34">
        <f t="shared" si="4"/>
        <v>12777.24</v>
      </c>
      <c r="E19" s="13"/>
      <c r="F19" s="13"/>
      <c r="G19" s="14" t="s">
        <v>11</v>
      </c>
      <c r="H19" s="24">
        <v>0</v>
      </c>
      <c r="I19" s="84">
        <v>0</v>
      </c>
      <c r="J19" s="81">
        <v>12777.24</v>
      </c>
      <c r="K19" s="23">
        <v>0</v>
      </c>
      <c r="L19" s="25">
        <v>0</v>
      </c>
      <c r="M19" s="42">
        <v>0</v>
      </c>
      <c r="N19" s="75"/>
      <c r="O19" s="66"/>
      <c r="P19" s="25"/>
      <c r="Q19" s="25"/>
    </row>
    <row r="20" spans="1:17" ht="29.25" customHeight="1">
      <c r="A20" s="16" t="s">
        <v>21</v>
      </c>
      <c r="B20" s="55">
        <f>B21+B22+B23+B24+B25</f>
        <v>53576801</v>
      </c>
      <c r="C20" s="56">
        <f>C21+C22+C23+C24+C25</f>
        <v>57584514.030000001</v>
      </c>
      <c r="D20" s="36">
        <f>D21+D22+D23+D24+D25</f>
        <v>67344175.899999991</v>
      </c>
      <c r="E20" s="13">
        <f t="shared" si="0"/>
        <v>125.6965228289759</v>
      </c>
      <c r="F20" s="13">
        <f t="shared" si="1"/>
        <v>116.9484140561045</v>
      </c>
      <c r="G20" s="16" t="s">
        <v>21</v>
      </c>
      <c r="H20" s="26">
        <f>H21+H22+H23+H24+H25</f>
        <v>25382446</v>
      </c>
      <c r="I20" s="86">
        <f>I21+I22+I23+I24+I25</f>
        <v>25382446</v>
      </c>
      <c r="J20" s="67">
        <f>J21+J22+J23+J24+J25</f>
        <v>32310399.329999998</v>
      </c>
      <c r="K20" s="27">
        <f>J20/H20*100</f>
        <v>127.29426994545759</v>
      </c>
      <c r="L20" s="27">
        <f>J20/I20*100</f>
        <v>127.29426994545759</v>
      </c>
      <c r="M20" s="43">
        <f>M21+M22+M23+M24+M25</f>
        <v>28194355</v>
      </c>
      <c r="N20" s="77">
        <f>N21+N22+N24+N23</f>
        <v>32202068.029999997</v>
      </c>
      <c r="O20" s="67">
        <f>O21+O22+O24+O23</f>
        <v>35033776.57</v>
      </c>
      <c r="P20" s="27">
        <f>O20/M20*100</f>
        <v>124.25812390459012</v>
      </c>
      <c r="Q20" s="27">
        <f>O20/N20*100</f>
        <v>108.79356113825341</v>
      </c>
    </row>
    <row r="21" spans="1:17" ht="16.5">
      <c r="A21" s="15" t="s">
        <v>12</v>
      </c>
      <c r="B21" s="53">
        <f t="shared" ref="B21:D27" si="5">H21+M21</f>
        <v>49295822</v>
      </c>
      <c r="C21" s="54">
        <f t="shared" si="5"/>
        <v>53331890.030000001</v>
      </c>
      <c r="D21" s="35">
        <f t="shared" si="5"/>
        <v>63140918.489999995</v>
      </c>
      <c r="E21" s="13">
        <f t="shared" si="0"/>
        <v>128.08574018706901</v>
      </c>
      <c r="F21" s="13">
        <f t="shared" si="1"/>
        <v>118.39242609718551</v>
      </c>
      <c r="G21" s="15" t="s">
        <v>12</v>
      </c>
      <c r="H21" s="24">
        <v>24691070</v>
      </c>
      <c r="I21" s="84">
        <v>24691070</v>
      </c>
      <c r="J21" s="66">
        <f>31527164.35+58841.4</f>
        <v>31586005.75</v>
      </c>
      <c r="K21" s="27">
        <f t="shared" ref="K21:K36" si="6">J21/H21*100</f>
        <v>127.92481553047317</v>
      </c>
      <c r="L21" s="27">
        <f t="shared" ref="L21:L31" si="7">J21/I21*100</f>
        <v>127.92481553047317</v>
      </c>
      <c r="M21" s="42">
        <f>24603791+961</f>
        <v>24604752</v>
      </c>
      <c r="N21" s="75">
        <f>28620897.33+19922.7</f>
        <v>28640820.029999997</v>
      </c>
      <c r="O21" s="66">
        <f>31527154.13+27758.61</f>
        <v>31554912.739999998</v>
      </c>
      <c r="P21" s="27">
        <f t="shared" ref="P21:P30" si="8">O21/M21*100</f>
        <v>128.24722939698802</v>
      </c>
      <c r="Q21" s="27">
        <f t="shared" ref="Q21:Q35" si="9">O21/N21*100</f>
        <v>110.17461339077448</v>
      </c>
    </row>
    <row r="22" spans="1:17" ht="30" customHeight="1">
      <c r="A22" s="17" t="s">
        <v>25</v>
      </c>
      <c r="B22" s="57">
        <f t="shared" si="5"/>
        <v>3855577</v>
      </c>
      <c r="C22" s="58">
        <f t="shared" si="5"/>
        <v>3852996</v>
      </c>
      <c r="D22" s="37">
        <f t="shared" si="5"/>
        <v>3772006.45</v>
      </c>
      <c r="E22" s="13">
        <f t="shared" si="0"/>
        <v>97.83247617671752</v>
      </c>
      <c r="F22" s="13">
        <f t="shared" si="1"/>
        <v>97.898011054254937</v>
      </c>
      <c r="G22" s="17" t="s">
        <v>25</v>
      </c>
      <c r="H22" s="28">
        <v>662197</v>
      </c>
      <c r="I22" s="87">
        <v>662197</v>
      </c>
      <c r="J22" s="92">
        <v>635999.96</v>
      </c>
      <c r="K22" s="27">
        <f t="shared" si="6"/>
        <v>96.043920464755956</v>
      </c>
      <c r="L22" s="27">
        <f t="shared" si="7"/>
        <v>96.043920464755956</v>
      </c>
      <c r="M22" s="44">
        <v>3193380</v>
      </c>
      <c r="N22" s="95">
        <v>3190799</v>
      </c>
      <c r="O22" s="92">
        <v>3136006.49</v>
      </c>
      <c r="P22" s="27">
        <f t="shared" si="8"/>
        <v>98.203361015601033</v>
      </c>
      <c r="Q22" s="27">
        <f t="shared" si="9"/>
        <v>98.282796566001181</v>
      </c>
    </row>
    <row r="23" spans="1:17" ht="17.25" customHeight="1">
      <c r="A23" s="18" t="s">
        <v>26</v>
      </c>
      <c r="B23" s="53">
        <f t="shared" si="5"/>
        <v>13172</v>
      </c>
      <c r="C23" s="54">
        <f t="shared" si="5"/>
        <v>83672</v>
      </c>
      <c r="D23" s="35">
        <f t="shared" si="5"/>
        <v>141386.9</v>
      </c>
      <c r="E23" s="13">
        <f t="shared" si="0"/>
        <v>1073.3897661706649</v>
      </c>
      <c r="F23" s="13">
        <f t="shared" si="1"/>
        <v>168.97755521560379</v>
      </c>
      <c r="G23" s="18" t="s">
        <v>26</v>
      </c>
      <c r="H23" s="24">
        <v>11672</v>
      </c>
      <c r="I23" s="84">
        <v>11672</v>
      </c>
      <c r="J23" s="66">
        <v>70886.899999999994</v>
      </c>
      <c r="K23" s="27">
        <f t="shared" si="6"/>
        <v>607.32436600411233</v>
      </c>
      <c r="L23" s="27">
        <f t="shared" si="7"/>
        <v>607.32436600411233</v>
      </c>
      <c r="M23" s="42">
        <v>1500</v>
      </c>
      <c r="N23" s="75">
        <v>72000</v>
      </c>
      <c r="O23" s="66">
        <v>70500</v>
      </c>
      <c r="P23" s="27">
        <f t="shared" si="8"/>
        <v>4700</v>
      </c>
      <c r="Q23" s="27">
        <f t="shared" si="9"/>
        <v>97.916666666666657</v>
      </c>
    </row>
    <row r="24" spans="1:17" ht="31.5" customHeight="1">
      <c r="A24" s="17" t="s">
        <v>24</v>
      </c>
      <c r="B24" s="57">
        <f t="shared" si="5"/>
        <v>412230</v>
      </c>
      <c r="C24" s="58">
        <f t="shared" si="5"/>
        <v>315956</v>
      </c>
      <c r="D24" s="37">
        <f t="shared" si="5"/>
        <v>289864.06000000006</v>
      </c>
      <c r="E24" s="13">
        <f t="shared" si="0"/>
        <v>70.316100235305541</v>
      </c>
      <c r="F24" s="13">
        <f t="shared" si="1"/>
        <v>91.741907100988769</v>
      </c>
      <c r="G24" s="17" t="s">
        <v>24</v>
      </c>
      <c r="H24" s="28">
        <v>17507</v>
      </c>
      <c r="I24" s="87">
        <v>17507</v>
      </c>
      <c r="J24" s="68">
        <v>17506.72</v>
      </c>
      <c r="K24" s="27">
        <f t="shared" si="6"/>
        <v>99.998400639744105</v>
      </c>
      <c r="L24" s="27">
        <f t="shared" si="7"/>
        <v>99.998400639744105</v>
      </c>
      <c r="M24" s="44">
        <v>394723</v>
      </c>
      <c r="N24" s="95">
        <v>298449</v>
      </c>
      <c r="O24" s="92">
        <v>272357.34000000003</v>
      </c>
      <c r="P24" s="27">
        <f t="shared" si="8"/>
        <v>68.999612386407691</v>
      </c>
      <c r="Q24" s="27">
        <f t="shared" si="9"/>
        <v>91.257581697375443</v>
      </c>
    </row>
    <row r="25" spans="1:17" ht="33" hidden="1">
      <c r="A25" s="18" t="s">
        <v>27</v>
      </c>
      <c r="B25" s="53">
        <f t="shared" si="5"/>
        <v>0</v>
      </c>
      <c r="C25" s="54">
        <f t="shared" si="5"/>
        <v>0</v>
      </c>
      <c r="D25" s="35">
        <f t="shared" si="5"/>
        <v>0</v>
      </c>
      <c r="E25" s="13" t="e">
        <f t="shared" si="0"/>
        <v>#DIV/0!</v>
      </c>
      <c r="F25" s="13" t="e">
        <f t="shared" si="1"/>
        <v>#DIV/0!</v>
      </c>
      <c r="G25" s="18" t="s">
        <v>27</v>
      </c>
      <c r="H25" s="24">
        <v>0</v>
      </c>
      <c r="I25" s="84">
        <v>0</v>
      </c>
      <c r="J25" s="66">
        <v>0</v>
      </c>
      <c r="K25" s="27" t="e">
        <f t="shared" si="6"/>
        <v>#DIV/0!</v>
      </c>
      <c r="L25" s="27" t="e">
        <f t="shared" si="7"/>
        <v>#DIV/0!</v>
      </c>
      <c r="M25" s="42">
        <v>0</v>
      </c>
      <c r="N25" s="75"/>
      <c r="O25" s="66"/>
      <c r="P25" s="27" t="e">
        <f t="shared" si="8"/>
        <v>#DIV/0!</v>
      </c>
      <c r="Q25" s="27" t="e">
        <f t="shared" si="9"/>
        <v>#DIV/0!</v>
      </c>
    </row>
    <row r="26" spans="1:17" ht="18.75" customHeight="1">
      <c r="A26" s="16" t="s">
        <v>22</v>
      </c>
      <c r="B26" s="59">
        <f t="shared" si="5"/>
        <v>2827241</v>
      </c>
      <c r="C26" s="60">
        <f t="shared" si="5"/>
        <v>26498018</v>
      </c>
      <c r="D26" s="38">
        <f t="shared" si="5"/>
        <v>26991725.300000001</v>
      </c>
      <c r="E26" s="13">
        <f t="shared" si="0"/>
        <v>954.70196208954246</v>
      </c>
      <c r="F26" s="13">
        <f t="shared" si="1"/>
        <v>101.86318576732796</v>
      </c>
      <c r="G26" s="16" t="s">
        <v>22</v>
      </c>
      <c r="H26" s="19">
        <v>2827241</v>
      </c>
      <c r="I26" s="93">
        <v>26498018</v>
      </c>
      <c r="J26" s="81">
        <v>26991725.300000001</v>
      </c>
      <c r="K26" s="27">
        <f t="shared" si="6"/>
        <v>954.70196208954246</v>
      </c>
      <c r="L26" s="27">
        <f t="shared" si="7"/>
        <v>101.86318576732796</v>
      </c>
      <c r="M26" s="45">
        <v>0</v>
      </c>
      <c r="N26" s="78"/>
      <c r="O26" s="68"/>
      <c r="P26" s="27"/>
      <c r="Q26" s="27"/>
    </row>
    <row r="27" spans="1:17" ht="16.5">
      <c r="A27" s="14" t="s">
        <v>13</v>
      </c>
      <c r="B27" s="52">
        <f t="shared" si="5"/>
        <v>116746</v>
      </c>
      <c r="C27" s="47">
        <f t="shared" si="5"/>
        <v>516768.15</v>
      </c>
      <c r="D27" s="34">
        <f t="shared" si="5"/>
        <v>762351.08</v>
      </c>
      <c r="E27" s="13">
        <f t="shared" si="0"/>
        <v>652.99974303188117</v>
      </c>
      <c r="F27" s="13">
        <f t="shared" si="1"/>
        <v>147.52284559332844</v>
      </c>
      <c r="G27" s="14" t="s">
        <v>13</v>
      </c>
      <c r="H27" s="41">
        <v>116746</v>
      </c>
      <c r="I27" s="76">
        <v>383609.83</v>
      </c>
      <c r="J27" s="81">
        <v>515287.98</v>
      </c>
      <c r="K27" s="27">
        <f t="shared" si="6"/>
        <v>441.37527624072777</v>
      </c>
      <c r="L27" s="27">
        <f t="shared" si="7"/>
        <v>134.32606249949328</v>
      </c>
      <c r="M27" s="41">
        <v>0</v>
      </c>
      <c r="N27" s="73">
        <v>133158.32</v>
      </c>
      <c r="O27" s="81">
        <v>247063.1</v>
      </c>
      <c r="P27" s="27"/>
      <c r="Q27" s="27">
        <f t="shared" si="9"/>
        <v>185.54086594063369</v>
      </c>
    </row>
    <row r="28" spans="1:17" ht="29.25" customHeight="1">
      <c r="A28" s="16" t="s">
        <v>23</v>
      </c>
      <c r="B28" s="59">
        <f>B29+B30</f>
        <v>6050021</v>
      </c>
      <c r="C28" s="60">
        <f>C29+C30</f>
        <v>12527526.41</v>
      </c>
      <c r="D28" s="38">
        <f>D29+D30</f>
        <v>19122499.210000001</v>
      </c>
      <c r="E28" s="13">
        <f t="shared" si="0"/>
        <v>316.07326999360833</v>
      </c>
      <c r="F28" s="13">
        <f t="shared" si="1"/>
        <v>152.64385469373758</v>
      </c>
      <c r="G28" s="16" t="s">
        <v>23</v>
      </c>
      <c r="H28" s="29">
        <f>H29+H30</f>
        <v>2960100</v>
      </c>
      <c r="I28" s="88">
        <f>I29+I30</f>
        <v>2960100</v>
      </c>
      <c r="J28" s="69">
        <f>J29+J30</f>
        <v>7655081.9400000004</v>
      </c>
      <c r="K28" s="27">
        <f t="shared" si="6"/>
        <v>258.60889632107023</v>
      </c>
      <c r="L28" s="27">
        <f t="shared" si="7"/>
        <v>258.60889632107023</v>
      </c>
      <c r="M28" s="45">
        <f>M29+M30</f>
        <v>3089921</v>
      </c>
      <c r="N28" s="79">
        <f>N29+N30</f>
        <v>9567426.4100000001</v>
      </c>
      <c r="O28" s="69">
        <f>O29+O30</f>
        <v>11467417.27</v>
      </c>
      <c r="P28" s="27">
        <f t="shared" si="8"/>
        <v>371.12331577409259</v>
      </c>
      <c r="Q28" s="27">
        <f t="shared" si="9"/>
        <v>119.85895452526401</v>
      </c>
    </row>
    <row r="29" spans="1:17" ht="16.5">
      <c r="A29" s="15" t="s">
        <v>14</v>
      </c>
      <c r="B29" s="53">
        <f t="shared" ref="B29:D31" si="10">H29+M29</f>
        <v>995000</v>
      </c>
      <c r="C29" s="54">
        <f t="shared" si="10"/>
        <v>5166521.32</v>
      </c>
      <c r="D29" s="35">
        <f t="shared" si="10"/>
        <v>5875291.1800000006</v>
      </c>
      <c r="E29" s="13">
        <f t="shared" si="0"/>
        <v>590.48152562814073</v>
      </c>
      <c r="F29" s="13">
        <f t="shared" si="1"/>
        <v>113.71851224645677</v>
      </c>
      <c r="G29" s="15" t="s">
        <v>14</v>
      </c>
      <c r="H29" s="24">
        <v>475000</v>
      </c>
      <c r="I29" s="84">
        <v>475000</v>
      </c>
      <c r="J29" s="91">
        <v>1007668.11</v>
      </c>
      <c r="K29" s="27">
        <f t="shared" si="6"/>
        <v>212.14065473684212</v>
      </c>
      <c r="L29" s="27">
        <f t="shared" si="7"/>
        <v>212.14065473684212</v>
      </c>
      <c r="M29" s="42">
        <v>520000</v>
      </c>
      <c r="N29" s="94">
        <v>4691521.32</v>
      </c>
      <c r="O29" s="91">
        <v>4867623.07</v>
      </c>
      <c r="P29" s="27">
        <f t="shared" si="8"/>
        <v>936.0813596153846</v>
      </c>
      <c r="Q29" s="27">
        <f t="shared" si="9"/>
        <v>103.75361717422614</v>
      </c>
    </row>
    <row r="30" spans="1:17" ht="16.5">
      <c r="A30" s="15" t="s">
        <v>15</v>
      </c>
      <c r="B30" s="53">
        <f t="shared" si="10"/>
        <v>5055021</v>
      </c>
      <c r="C30" s="54">
        <f t="shared" si="10"/>
        <v>7361005.0899999999</v>
      </c>
      <c r="D30" s="35">
        <f t="shared" si="10"/>
        <v>13247208.030000001</v>
      </c>
      <c r="E30" s="13">
        <f t="shared" si="0"/>
        <v>262.06039559479575</v>
      </c>
      <c r="F30" s="13">
        <f t="shared" si="1"/>
        <v>179.96466335822086</v>
      </c>
      <c r="G30" s="15" t="s">
        <v>15</v>
      </c>
      <c r="H30" s="24">
        <v>2485100</v>
      </c>
      <c r="I30" s="84">
        <v>2485100</v>
      </c>
      <c r="J30" s="91">
        <f>6599265.83+48148</f>
        <v>6647413.8300000001</v>
      </c>
      <c r="K30" s="27">
        <f t="shared" si="6"/>
        <v>267.49079835821499</v>
      </c>
      <c r="L30" s="27">
        <f t="shared" si="7"/>
        <v>267.49079835821499</v>
      </c>
      <c r="M30" s="42">
        <v>2569921</v>
      </c>
      <c r="N30" s="94">
        <v>4875905.09</v>
      </c>
      <c r="O30" s="91">
        <v>6599794.2000000002</v>
      </c>
      <c r="P30" s="27">
        <f t="shared" si="8"/>
        <v>256.8092248750059</v>
      </c>
      <c r="Q30" s="27">
        <f t="shared" si="9"/>
        <v>135.35526385727908</v>
      </c>
    </row>
    <row r="31" spans="1:17" ht="16.5">
      <c r="A31" s="14" t="s">
        <v>16</v>
      </c>
      <c r="B31" s="52">
        <f t="shared" si="10"/>
        <v>777192</v>
      </c>
      <c r="C31" s="47">
        <f t="shared" si="10"/>
        <v>878492</v>
      </c>
      <c r="D31" s="34">
        <f t="shared" si="10"/>
        <v>707849.65</v>
      </c>
      <c r="E31" s="13">
        <f t="shared" si="0"/>
        <v>91.077835335412615</v>
      </c>
      <c r="F31" s="13">
        <f t="shared" si="1"/>
        <v>80.575537398177786</v>
      </c>
      <c r="G31" s="14" t="s">
        <v>16</v>
      </c>
      <c r="H31" s="22">
        <v>777192</v>
      </c>
      <c r="I31" s="82">
        <v>777192</v>
      </c>
      <c r="J31" s="81">
        <v>460117.39</v>
      </c>
      <c r="K31" s="27">
        <f t="shared" si="6"/>
        <v>59.2025381115606</v>
      </c>
      <c r="L31" s="27">
        <f t="shared" si="7"/>
        <v>59.2025381115606</v>
      </c>
      <c r="M31" s="41">
        <v>0</v>
      </c>
      <c r="N31" s="73">
        <v>101300</v>
      </c>
      <c r="O31" s="81">
        <v>247732.26</v>
      </c>
      <c r="P31" s="27"/>
      <c r="Q31" s="27">
        <f t="shared" si="9"/>
        <v>244.553070088845</v>
      </c>
    </row>
    <row r="32" spans="1:17" ht="16.5">
      <c r="A32" s="14" t="s">
        <v>17</v>
      </c>
      <c r="B32" s="52">
        <f>B33+B34+B35</f>
        <v>0</v>
      </c>
      <c r="C32" s="47">
        <f>C33+C34+C35</f>
        <v>9158917.4399999995</v>
      </c>
      <c r="D32" s="34">
        <f>D33+D34+D35</f>
        <v>9713790.7899999991</v>
      </c>
      <c r="E32" s="13" t="e">
        <f t="shared" si="0"/>
        <v>#DIV/0!</v>
      </c>
      <c r="F32" s="13">
        <f t="shared" si="1"/>
        <v>106.05828531193748</v>
      </c>
      <c r="G32" s="14" t="s">
        <v>17</v>
      </c>
      <c r="H32" s="22">
        <v>0</v>
      </c>
      <c r="I32" s="82">
        <f>I33+I34+I35</f>
        <v>0</v>
      </c>
      <c r="J32" s="32">
        <f>J33+J34+J35</f>
        <v>32439.85</v>
      </c>
      <c r="K32" s="27"/>
      <c r="L32" s="23"/>
      <c r="M32" s="41">
        <v>0</v>
      </c>
      <c r="N32" s="74">
        <f>N33+N34+N35</f>
        <v>9158917.4399999995</v>
      </c>
      <c r="O32" s="32">
        <f>O33+O34+O35</f>
        <v>9681350.9399999995</v>
      </c>
      <c r="P32" s="27"/>
      <c r="Q32" s="27">
        <f t="shared" si="9"/>
        <v>105.70409661865017</v>
      </c>
    </row>
    <row r="33" spans="1:17" ht="16.5">
      <c r="A33" s="15" t="s">
        <v>18</v>
      </c>
      <c r="B33" s="53">
        <f>H33+M33</f>
        <v>0</v>
      </c>
      <c r="C33" s="54">
        <f t="shared" ref="C33:D35" si="11">I33++N33</f>
        <v>0</v>
      </c>
      <c r="D33" s="35">
        <f t="shared" si="11"/>
        <v>-111120.9</v>
      </c>
      <c r="E33" s="13"/>
      <c r="F33" s="13"/>
      <c r="G33" s="15" t="s">
        <v>18</v>
      </c>
      <c r="H33" s="24"/>
      <c r="I33" s="84"/>
      <c r="J33" s="66">
        <v>-6065.15</v>
      </c>
      <c r="K33" s="27"/>
      <c r="L33" s="25"/>
      <c r="M33" s="42">
        <v>0</v>
      </c>
      <c r="N33" s="75">
        <v>0</v>
      </c>
      <c r="O33" s="81">
        <v>-105055.75</v>
      </c>
      <c r="P33" s="27"/>
      <c r="Q33" s="27"/>
    </row>
    <row r="34" spans="1:17" ht="16.5">
      <c r="A34" s="15" t="s">
        <v>19</v>
      </c>
      <c r="B34" s="53">
        <f>H34+M34</f>
        <v>0</v>
      </c>
      <c r="C34" s="54">
        <f t="shared" si="11"/>
        <v>9133817.4399999995</v>
      </c>
      <c r="D34" s="35">
        <f t="shared" si="11"/>
        <v>9799411.6899999995</v>
      </c>
      <c r="E34" s="13" t="e">
        <f t="shared" si="0"/>
        <v>#DIV/0!</v>
      </c>
      <c r="F34" s="13">
        <f t="shared" si="1"/>
        <v>107.28714203422922</v>
      </c>
      <c r="G34" s="15" t="s">
        <v>19</v>
      </c>
      <c r="H34" s="24">
        <v>0</v>
      </c>
      <c r="I34" s="84">
        <v>0</v>
      </c>
      <c r="J34" s="81">
        <v>38505</v>
      </c>
      <c r="K34" s="27"/>
      <c r="L34" s="25"/>
      <c r="M34" s="42">
        <v>0</v>
      </c>
      <c r="N34" s="73">
        <v>9133817.4399999995</v>
      </c>
      <c r="O34" s="81">
        <v>9760906.6899999995</v>
      </c>
      <c r="P34" s="27"/>
      <c r="Q34" s="27">
        <f t="shared" si="9"/>
        <v>106.86557678779269</v>
      </c>
    </row>
    <row r="35" spans="1:17" ht="16.5">
      <c r="A35" s="15" t="s">
        <v>38</v>
      </c>
      <c r="B35" s="53">
        <f>H35+M35</f>
        <v>0</v>
      </c>
      <c r="C35" s="54">
        <f t="shared" si="11"/>
        <v>25100</v>
      </c>
      <c r="D35" s="35">
        <f t="shared" si="11"/>
        <v>25500</v>
      </c>
      <c r="E35" s="13" t="e">
        <f t="shared" si="0"/>
        <v>#DIV/0!</v>
      </c>
      <c r="F35" s="13">
        <f t="shared" si="1"/>
        <v>101.59362549800797</v>
      </c>
      <c r="G35" s="15" t="str">
        <f>A35</f>
        <v>Средства самообложения граждан</v>
      </c>
      <c r="H35" s="24"/>
      <c r="I35" s="84"/>
      <c r="J35" s="66"/>
      <c r="K35" s="27"/>
      <c r="L35" s="25"/>
      <c r="M35" s="42">
        <v>0</v>
      </c>
      <c r="N35" s="73">
        <v>25100</v>
      </c>
      <c r="O35" s="81">
        <v>25500</v>
      </c>
      <c r="P35" s="27"/>
      <c r="Q35" s="27">
        <f t="shared" si="9"/>
        <v>101.59362549800797</v>
      </c>
    </row>
    <row r="36" spans="1:17" ht="21.75" customHeight="1" thickBot="1">
      <c r="A36" s="20" t="s">
        <v>20</v>
      </c>
      <c r="B36" s="61">
        <f>H36+M36</f>
        <v>236951325</v>
      </c>
      <c r="C36" s="62">
        <f>I36+N36</f>
        <v>282959974.94</v>
      </c>
      <c r="D36" s="39">
        <f>J36+O36</f>
        <v>303424703.55999994</v>
      </c>
      <c r="E36" s="48">
        <f t="shared" si="0"/>
        <v>128.05360069626113</v>
      </c>
      <c r="F36" s="48">
        <f t="shared" si="1"/>
        <v>107.23237575361652</v>
      </c>
      <c r="G36" s="20" t="s">
        <v>20</v>
      </c>
      <c r="H36" s="46">
        <f t="shared" ref="H36:Q36" si="12">H5</f>
        <v>148105387</v>
      </c>
      <c r="I36" s="80">
        <f t="shared" si="12"/>
        <v>172250077.83000001</v>
      </c>
      <c r="J36" s="70">
        <f t="shared" si="12"/>
        <v>185923970.84999996</v>
      </c>
      <c r="K36" s="49">
        <f t="shared" si="6"/>
        <v>125.53491443900009</v>
      </c>
      <c r="L36" s="31">
        <f t="shared" si="12"/>
        <v>107.93839584414889</v>
      </c>
      <c r="M36" s="46">
        <f t="shared" si="12"/>
        <v>88845938</v>
      </c>
      <c r="N36" s="80">
        <f t="shared" si="12"/>
        <v>110709897.11</v>
      </c>
      <c r="O36" s="70">
        <f t="shared" si="12"/>
        <v>117500732.71000001</v>
      </c>
      <c r="P36" s="31">
        <f t="shared" si="12"/>
        <v>132.25222824480733</v>
      </c>
      <c r="Q36" s="31">
        <f t="shared" si="12"/>
        <v>106.13390110303573</v>
      </c>
    </row>
    <row r="37" spans="1:17" ht="21.75" customHeight="1">
      <c r="A37" s="3"/>
      <c r="B37" s="4"/>
      <c r="C37" s="3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  <c r="O37" s="3"/>
      <c r="P37" s="3"/>
      <c r="Q37" s="3"/>
    </row>
    <row r="38" spans="1:17">
      <c r="A38" s="5"/>
      <c r="B38" s="4"/>
      <c r="C38" s="3"/>
      <c r="D38" s="3"/>
      <c r="E38" s="11"/>
      <c r="F38" s="11"/>
      <c r="G38" s="6"/>
      <c r="H38" s="3"/>
      <c r="I38" s="64"/>
      <c r="J38" s="3"/>
      <c r="K38" s="3"/>
      <c r="L38" s="3"/>
      <c r="M38" s="3"/>
      <c r="N38" s="4"/>
      <c r="O38" s="4"/>
      <c r="P38" s="11"/>
      <c r="Q38" s="3"/>
    </row>
    <row r="39" spans="1:17" hidden="1"/>
  </sheetData>
  <mergeCells count="6">
    <mergeCell ref="H3:L3"/>
    <mergeCell ref="M3:Q3"/>
    <mergeCell ref="A2:F2"/>
    <mergeCell ref="A3:A4"/>
    <mergeCell ref="B3:F3"/>
    <mergeCell ref="G3:G4"/>
  </mergeCells>
  <phoneticPr fontId="0" type="noConversion"/>
  <pageMargins left="0.7" right="0.7" top="0.75" bottom="0.75" header="0.3" footer="0.3"/>
  <pageSetup paperSize="9" scale="73" fitToWidth="2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view="pageBreakPreview" topLeftCell="A2" zoomScale="73" zoomScaleNormal="89" zoomScaleSheetLayoutView="73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17" sqref="A17:A18"/>
    </sheetView>
  </sheetViews>
  <sheetFormatPr defaultRowHeight="12.75"/>
  <cols>
    <col min="1" max="1" width="67.28515625" customWidth="1"/>
    <col min="2" max="3" width="13.5703125" style="1" customWidth="1"/>
    <col min="4" max="4" width="14.7109375" hidden="1" customWidth="1"/>
    <col min="5" max="5" width="15.140625" customWidth="1"/>
    <col min="6" max="6" width="9.28515625" customWidth="1"/>
    <col min="7" max="7" width="8.85546875" customWidth="1"/>
    <col min="8" max="8" width="11.5703125" customWidth="1"/>
    <col min="9" max="9" width="14.42578125" customWidth="1"/>
    <col min="10" max="10" width="13.5703125" customWidth="1"/>
    <col min="11" max="11" width="14.42578125" hidden="1" customWidth="1"/>
    <col min="12" max="12" width="14.28515625" customWidth="1"/>
    <col min="13" max="13" width="8.42578125" customWidth="1"/>
    <col min="14" max="14" width="7.85546875" customWidth="1"/>
    <col min="15" max="15" width="12.140625" customWidth="1"/>
    <col min="16" max="17" width="13.7109375" customWidth="1"/>
    <col min="18" max="18" width="13.42578125" hidden="1" customWidth="1"/>
    <col min="19" max="19" width="13.7109375" customWidth="1"/>
    <col min="20" max="20" width="8.28515625" customWidth="1"/>
    <col min="21" max="21" width="7.85546875" customWidth="1"/>
    <col min="22" max="22" width="14.140625" customWidth="1"/>
  </cols>
  <sheetData>
    <row r="1" spans="1:22" hidden="1"/>
    <row r="2" spans="1:22" ht="20.25" customHeight="1" thickBot="1">
      <c r="A2" s="293" t="s">
        <v>48</v>
      </c>
      <c r="B2" s="293"/>
      <c r="C2" s="293"/>
      <c r="D2" s="293"/>
      <c r="E2" s="293"/>
      <c r="F2" s="293"/>
      <c r="G2" s="293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294" t="s">
        <v>0</v>
      </c>
      <c r="B3" s="288" t="s">
        <v>44</v>
      </c>
      <c r="C3" s="289"/>
      <c r="D3" s="289"/>
      <c r="E3" s="289"/>
      <c r="F3" s="289"/>
      <c r="G3" s="289"/>
      <c r="H3" s="140"/>
      <c r="I3" s="288" t="s">
        <v>31</v>
      </c>
      <c r="J3" s="289"/>
      <c r="K3" s="289"/>
      <c r="L3" s="289"/>
      <c r="M3" s="289"/>
      <c r="N3" s="289"/>
      <c r="O3" s="140"/>
      <c r="P3" s="290" t="s">
        <v>32</v>
      </c>
      <c r="Q3" s="291"/>
      <c r="R3" s="291"/>
      <c r="S3" s="291"/>
      <c r="T3" s="291"/>
      <c r="U3" s="291"/>
      <c r="V3" s="296"/>
    </row>
    <row r="4" spans="1:22" ht="74.25" customHeight="1">
      <c r="A4" s="295"/>
      <c r="B4" s="63" t="s">
        <v>39</v>
      </c>
      <c r="C4" s="8" t="s">
        <v>46</v>
      </c>
      <c r="D4" s="63" t="s">
        <v>47</v>
      </c>
      <c r="E4" s="10" t="s">
        <v>49</v>
      </c>
      <c r="F4" s="9" t="s">
        <v>40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9 месяцев</v>
      </c>
      <c r="L4" s="10" t="str">
        <f>E4</f>
        <v>Факт на 01/01.2015</v>
      </c>
      <c r="M4" s="9" t="s">
        <v>40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9 месяцев</v>
      </c>
      <c r="S4" s="145" t="str">
        <f>L4</f>
        <v>Факт на 01/01.2015</v>
      </c>
      <c r="T4" s="146" t="str">
        <f>M4</f>
        <v>% исп-я к утвержд. плану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248041311</v>
      </c>
      <c r="C5" s="50">
        <f>Q5+J5</f>
        <v>291817786.49000001</v>
      </c>
      <c r="D5" s="51">
        <f>D6+D8+D12+D19+D20+D21+D27+D28+D29+D32+D33+D7</f>
        <v>202312714.87000003</v>
      </c>
      <c r="E5" s="33">
        <f>E6+E8+E12+E19+E20+E21+E27+E28+E29+E32+E33+E7</f>
        <v>312525085.18999994</v>
      </c>
      <c r="F5" s="13">
        <f>E5/B5*100</f>
        <v>125.99719132673022</v>
      </c>
      <c r="G5" s="13">
        <f>E5/C5*100</f>
        <v>107.09596866903435</v>
      </c>
      <c r="H5" s="13">
        <f>E5-C5</f>
        <v>20707298.699999928</v>
      </c>
      <c r="I5" s="102">
        <f>I6+I8+I12+I19+I20+I21+I27+I28+I29+I32+I33+I7</f>
        <v>132541704</v>
      </c>
      <c r="J5" s="115">
        <f>J6+J8+J12+J19+J20+J21+J27+J28+J29+J32+J33+J7</f>
        <v>151622764.38</v>
      </c>
      <c r="K5" s="102">
        <f>K6+K8+K12+K19+K20+K21+K27+K28+K29+K32+K33+K7</f>
        <v>110436376.33</v>
      </c>
      <c r="L5" s="139">
        <f>L6+L8+L12+L19+L20+L21+L27+L28+L29+L32+L33+L7</f>
        <v>165715291.09999999</v>
      </c>
      <c r="M5" s="21">
        <f>L5/I5*100</f>
        <v>125.02879176806117</v>
      </c>
      <c r="N5" s="21">
        <f>L5/J5*100</f>
        <v>109.29446628784648</v>
      </c>
      <c r="O5" s="21">
        <f>L5-J5</f>
        <v>14092526.719999999</v>
      </c>
      <c r="P5" s="102">
        <f>P6+P8+P12+P19+P20+P21+P27+P28+P29+P32+P33+P7</f>
        <v>115499607</v>
      </c>
      <c r="Q5" s="115">
        <f>Q6+Q8+Q12+Q19+Q20+Q21+Q27+Q28+Q29+Q32+Q33+Q7</f>
        <v>140195022.11000001</v>
      </c>
      <c r="R5" s="123">
        <f>R6+R8+R12+R19+R20+R21+R27+R28+R29+R32+R33+R7</f>
        <v>91876338.539999992</v>
      </c>
      <c r="S5" s="65">
        <f>S6+S8+S12+S19+S20+S21+S27+S28+S29+S32+S33+S7</f>
        <v>146809794.09</v>
      </c>
      <c r="T5" s="21">
        <f>S5/P5*100</f>
        <v>127.10847933015046</v>
      </c>
      <c r="U5" s="148">
        <f>S5/Q5*100</f>
        <v>104.71826451499105</v>
      </c>
      <c r="V5" s="150">
        <f>S5-Q5</f>
        <v>6614771.9799999893</v>
      </c>
    </row>
    <row r="6" spans="1:22" ht="16.5">
      <c r="A6" s="14" t="s">
        <v>28</v>
      </c>
      <c r="B6" s="97">
        <f>I6+P6</f>
        <v>80578377</v>
      </c>
      <c r="C6" s="50">
        <f t="shared" ref="C6:C37" si="0">Q6+J6</f>
        <v>80282632.5</v>
      </c>
      <c r="D6" s="47">
        <f>K6+R6</f>
        <v>57113715</v>
      </c>
      <c r="E6" s="34">
        <f>L6+S6</f>
        <v>80410476.449999988</v>
      </c>
      <c r="F6" s="13">
        <f t="shared" ref="F6:F37" si="1">E6/B6*100</f>
        <v>99.791630762183246</v>
      </c>
      <c r="G6" s="13">
        <f t="shared" ref="G6:G37" si="2">E6/C6*100</f>
        <v>100.15924234920921</v>
      </c>
      <c r="H6" s="13">
        <f t="shared" ref="H6:H37" si="3">E6-C6</f>
        <v>127843.94999998808</v>
      </c>
      <c r="I6" s="30">
        <v>58991700</v>
      </c>
      <c r="J6" s="116">
        <v>58991700</v>
      </c>
      <c r="K6" s="76">
        <v>41605419</v>
      </c>
      <c r="L6" s="81">
        <v>58754101.479999997</v>
      </c>
      <c r="M6" s="21">
        <f>L6/I6*100</f>
        <v>99.597233983763815</v>
      </c>
      <c r="N6" s="21">
        <f>L6/J6*100</f>
        <v>99.597233983763815</v>
      </c>
      <c r="O6" s="21">
        <f t="shared" ref="O6:O37" si="4">L6-J6</f>
        <v>-237598.52000000328</v>
      </c>
      <c r="P6" s="103">
        <v>21586677</v>
      </c>
      <c r="Q6" s="41">
        <v>21290932.5</v>
      </c>
      <c r="R6" s="96">
        <v>15508296</v>
      </c>
      <c r="S6" s="81">
        <v>21656374.969999999</v>
      </c>
      <c r="T6" s="21">
        <f>S6/P6*100</f>
        <v>100.3228749380926</v>
      </c>
      <c r="U6" s="148">
        <f t="shared" ref="U6:U37" si="5">S6/Q6*100</f>
        <v>101.71642303595674</v>
      </c>
      <c r="V6" s="150">
        <f t="shared" ref="V6:V37" si="6">S6-Q6</f>
        <v>365442.46999999881</v>
      </c>
    </row>
    <row r="7" spans="1:22" ht="16.5">
      <c r="A7" s="14" t="s">
        <v>45</v>
      </c>
      <c r="B7" s="97">
        <f>I7+P7</f>
        <v>33873138</v>
      </c>
      <c r="C7" s="50">
        <f t="shared" si="0"/>
        <v>33509509</v>
      </c>
      <c r="D7" s="47">
        <f>K7+R7</f>
        <v>24496415</v>
      </c>
      <c r="E7" s="34">
        <f>L7+S7</f>
        <v>27904410.960000001</v>
      </c>
      <c r="F7" s="13">
        <f t="shared" si="1"/>
        <v>82.379173019045353</v>
      </c>
      <c r="G7" s="13">
        <f t="shared" si="2"/>
        <v>83.273111999343229</v>
      </c>
      <c r="H7" s="13">
        <f t="shared" si="3"/>
        <v>-5605098.0399999991</v>
      </c>
      <c r="I7" s="30">
        <v>14324000</v>
      </c>
      <c r="J7" s="116">
        <v>14324000</v>
      </c>
      <c r="K7" s="76">
        <v>10737896</v>
      </c>
      <c r="L7" s="81">
        <v>11787337.98</v>
      </c>
      <c r="M7" s="21">
        <f t="shared" ref="M7:M12" si="7">L7/I7*100</f>
        <v>82.290826445127067</v>
      </c>
      <c r="N7" s="21">
        <f t="shared" ref="N7:N12" si="8">L7/J7*100</f>
        <v>82.290826445127067</v>
      </c>
      <c r="O7" s="152">
        <f t="shared" si="4"/>
        <v>-2536662.0199999996</v>
      </c>
      <c r="P7" s="103">
        <v>19549138</v>
      </c>
      <c r="Q7" s="41">
        <v>19185509</v>
      </c>
      <c r="R7" s="96">
        <v>13758519</v>
      </c>
      <c r="S7" s="81">
        <v>16117072.98</v>
      </c>
      <c r="T7" s="21">
        <f>S7/P7*100</f>
        <v>82.443906120055004</v>
      </c>
      <c r="U7" s="148">
        <f t="shared" si="5"/>
        <v>84.00649146186322</v>
      </c>
      <c r="V7" s="153">
        <f t="shared" si="6"/>
        <v>-3068436.0199999996</v>
      </c>
    </row>
    <row r="8" spans="1:22" ht="16.5">
      <c r="A8" s="14" t="s">
        <v>2</v>
      </c>
      <c r="B8" s="97">
        <f>B9+B11+B10</f>
        <v>10183366</v>
      </c>
      <c r="C8" s="50">
        <f t="shared" si="0"/>
        <v>14836314.16</v>
      </c>
      <c r="D8" s="47">
        <f>D9+D11+D10</f>
        <v>11238767.17</v>
      </c>
      <c r="E8" s="34">
        <f>E9+E11+E10</f>
        <v>15152127.109999999</v>
      </c>
      <c r="F8" s="13">
        <f t="shared" si="1"/>
        <v>148.79291493598481</v>
      </c>
      <c r="G8" s="13">
        <f t="shared" si="2"/>
        <v>102.12864830573255</v>
      </c>
      <c r="H8" s="13">
        <f t="shared" si="3"/>
        <v>315812.94999999925</v>
      </c>
      <c r="I8" s="30">
        <f>I9+I11+I10</f>
        <v>9602800</v>
      </c>
      <c r="J8" s="116">
        <f>J9+J11+J10</f>
        <v>9602800</v>
      </c>
      <c r="K8" s="103">
        <f>K9+K11+K10</f>
        <v>7060266</v>
      </c>
      <c r="L8" s="32">
        <f>L9+L10</f>
        <v>9671791.8000000007</v>
      </c>
      <c r="M8" s="21">
        <f t="shared" si="7"/>
        <v>100.71845503394843</v>
      </c>
      <c r="N8" s="21">
        <f t="shared" si="8"/>
        <v>100.71845503394843</v>
      </c>
      <c r="O8" s="21">
        <f t="shared" si="4"/>
        <v>68991.800000000745</v>
      </c>
      <c r="P8" s="103">
        <f>P9+P11</f>
        <v>580566</v>
      </c>
      <c r="Q8" s="41">
        <f>Q9+Q10+Q11</f>
        <v>5233514.16</v>
      </c>
      <c r="R8" s="124">
        <f>R9+R11</f>
        <v>4178501.17</v>
      </c>
      <c r="S8" s="32">
        <f>S9+S11</f>
        <v>5480335.3099999996</v>
      </c>
      <c r="T8" s="21">
        <f>S8/P8*100</f>
        <v>943.96421939968923</v>
      </c>
      <c r="U8" s="148">
        <f t="shared" si="5"/>
        <v>104.71616474999659</v>
      </c>
      <c r="V8" s="150">
        <f t="shared" si="6"/>
        <v>246821.14999999944</v>
      </c>
    </row>
    <row r="9" spans="1:22" ht="16.5">
      <c r="A9" s="15" t="s">
        <v>3</v>
      </c>
      <c r="B9" s="98">
        <f>I9+P9</f>
        <v>9350900</v>
      </c>
      <c r="C9" s="50">
        <f t="shared" si="0"/>
        <v>9350900</v>
      </c>
      <c r="D9" s="54">
        <f t="shared" ref="D9:E11" si="9">K9+R9</f>
        <v>6891606</v>
      </c>
      <c r="E9" s="35">
        <f t="shared" si="9"/>
        <v>9349114.3000000007</v>
      </c>
      <c r="F9" s="13">
        <f t="shared" si="1"/>
        <v>99.980903442449403</v>
      </c>
      <c r="G9" s="13">
        <f t="shared" si="2"/>
        <v>99.980903442449403</v>
      </c>
      <c r="H9" s="13">
        <f t="shared" si="3"/>
        <v>-1785.6999999992549</v>
      </c>
      <c r="I9" s="109">
        <v>9350900</v>
      </c>
      <c r="J9" s="117">
        <v>9350900</v>
      </c>
      <c r="K9" s="84">
        <v>6891606</v>
      </c>
      <c r="L9" s="91">
        <v>9349114.3000000007</v>
      </c>
      <c r="M9" s="21">
        <f t="shared" si="7"/>
        <v>99.980903442449403</v>
      </c>
      <c r="N9" s="21">
        <f t="shared" si="8"/>
        <v>99.980903442449403</v>
      </c>
      <c r="O9" s="21">
        <f t="shared" si="4"/>
        <v>-1785.6999999992549</v>
      </c>
      <c r="P9" s="103">
        <f>R9+S9+T9+U9</f>
        <v>0</v>
      </c>
      <c r="Q9" s="41">
        <f>P9</f>
        <v>0</v>
      </c>
      <c r="R9" s="125">
        <v>0</v>
      </c>
      <c r="S9" s="66">
        <v>0</v>
      </c>
      <c r="T9" s="21"/>
      <c r="U9" s="148"/>
      <c r="V9" s="150">
        <f t="shared" si="6"/>
        <v>0</v>
      </c>
    </row>
    <row r="10" spans="1:22" ht="16.5">
      <c r="A10" s="15" t="s">
        <v>35</v>
      </c>
      <c r="B10" s="98">
        <f>I10+P10</f>
        <v>251900</v>
      </c>
      <c r="C10" s="50">
        <f t="shared" si="0"/>
        <v>251900</v>
      </c>
      <c r="D10" s="54">
        <f t="shared" si="9"/>
        <v>168660</v>
      </c>
      <c r="E10" s="35">
        <f t="shared" si="9"/>
        <v>322677.5</v>
      </c>
      <c r="F10" s="13">
        <f t="shared" si="1"/>
        <v>128.0974593092497</v>
      </c>
      <c r="G10" s="13">
        <f t="shared" si="2"/>
        <v>128.0974593092497</v>
      </c>
      <c r="H10" s="13">
        <f t="shared" si="3"/>
        <v>70777.5</v>
      </c>
      <c r="I10" s="109">
        <v>251900</v>
      </c>
      <c r="J10" s="117">
        <v>251900</v>
      </c>
      <c r="K10" s="84">
        <v>168660</v>
      </c>
      <c r="L10" s="91">
        <v>322677.5</v>
      </c>
      <c r="M10" s="21">
        <f t="shared" si="7"/>
        <v>128.0974593092497</v>
      </c>
      <c r="N10" s="21">
        <f t="shared" si="8"/>
        <v>128.0974593092497</v>
      </c>
      <c r="O10" s="21">
        <f t="shared" si="4"/>
        <v>70777.5</v>
      </c>
      <c r="P10" s="103"/>
      <c r="Q10" s="41">
        <f>P10</f>
        <v>0</v>
      </c>
      <c r="R10" s="125"/>
      <c r="S10" s="66"/>
      <c r="T10" s="21"/>
      <c r="U10" s="148"/>
      <c r="V10" s="150">
        <f t="shared" si="6"/>
        <v>0</v>
      </c>
    </row>
    <row r="11" spans="1:22" ht="16.5">
      <c r="A11" s="15" t="s">
        <v>29</v>
      </c>
      <c r="B11" s="98">
        <f>I11+P11</f>
        <v>580566</v>
      </c>
      <c r="C11" s="50">
        <f t="shared" si="0"/>
        <v>5233514.16</v>
      </c>
      <c r="D11" s="54">
        <f t="shared" si="9"/>
        <v>4178501.17</v>
      </c>
      <c r="E11" s="35">
        <f t="shared" si="9"/>
        <v>5480335.3099999996</v>
      </c>
      <c r="F11" s="13">
        <f t="shared" si="1"/>
        <v>943.96421939968923</v>
      </c>
      <c r="G11" s="13">
        <f t="shared" si="2"/>
        <v>104.71616474999659</v>
      </c>
      <c r="H11" s="13">
        <f t="shared" si="3"/>
        <v>246821.14999999944</v>
      </c>
      <c r="I11" s="109">
        <v>0</v>
      </c>
      <c r="J11" s="117">
        <v>0</v>
      </c>
      <c r="K11" s="84">
        <v>0</v>
      </c>
      <c r="L11" s="66">
        <v>0</v>
      </c>
      <c r="M11" s="21"/>
      <c r="N11" s="21"/>
      <c r="O11" s="21">
        <f t="shared" si="4"/>
        <v>0</v>
      </c>
      <c r="P11" s="104">
        <v>580566</v>
      </c>
      <c r="Q11" s="42">
        <v>5233514.16</v>
      </c>
      <c r="R11" s="126">
        <v>4178501.17</v>
      </c>
      <c r="S11" s="91">
        <v>5480335.3099999996</v>
      </c>
      <c r="T11" s="21">
        <f>S11/P11*100</f>
        <v>943.96421939968923</v>
      </c>
      <c r="U11" s="148">
        <f t="shared" si="5"/>
        <v>104.71616474999659</v>
      </c>
      <c r="V11" s="150">
        <f t="shared" si="6"/>
        <v>246821.14999999944</v>
      </c>
    </row>
    <row r="12" spans="1:22" ht="16.5">
      <c r="A12" s="14" t="s">
        <v>4</v>
      </c>
      <c r="B12" s="97">
        <f>B13+B14+B15+B16</f>
        <v>52586391</v>
      </c>
      <c r="C12" s="50">
        <f t="shared" si="0"/>
        <v>55704470.25</v>
      </c>
      <c r="D12" s="47">
        <f>D13+D14+D15+D16</f>
        <v>28127677.579999998</v>
      </c>
      <c r="E12" s="34">
        <f>E13+E14+E15+E16</f>
        <v>59379998.859999999</v>
      </c>
      <c r="F12" s="13">
        <f t="shared" si="1"/>
        <v>112.91894676704473</v>
      </c>
      <c r="G12" s="13">
        <f t="shared" si="2"/>
        <v>106.59826508268428</v>
      </c>
      <c r="H12" s="13">
        <f t="shared" si="3"/>
        <v>3675528.6099999994</v>
      </c>
      <c r="I12" s="30">
        <f>I13+I14+I15+I16</f>
        <v>14239885</v>
      </c>
      <c r="J12" s="116">
        <f>J13+J14+J15+J16</f>
        <v>14239885</v>
      </c>
      <c r="K12" s="82">
        <f>K13+K14+K15+K16</f>
        <v>6728626</v>
      </c>
      <c r="L12" s="32">
        <f>L13+L14+L15+L16</f>
        <v>15198222.539999999</v>
      </c>
      <c r="M12" s="21">
        <f t="shared" si="7"/>
        <v>106.72995280509639</v>
      </c>
      <c r="N12" s="21">
        <f t="shared" si="8"/>
        <v>106.72995280509639</v>
      </c>
      <c r="O12" s="21">
        <f t="shared" si="4"/>
        <v>958337.53999999911</v>
      </c>
      <c r="P12" s="103">
        <f>P13+P14+P15+P16</f>
        <v>38346506</v>
      </c>
      <c r="Q12" s="41">
        <f>Q13+Q14+Q16</f>
        <v>41464585.25</v>
      </c>
      <c r="R12" s="127">
        <f>R13+R14+R15+R16</f>
        <v>21399051.579999998</v>
      </c>
      <c r="S12" s="32">
        <f>S13+S14+S15+S16</f>
        <v>44181776.32</v>
      </c>
      <c r="T12" s="21">
        <f>S12/P12*100</f>
        <v>115.21721514862398</v>
      </c>
      <c r="U12" s="148">
        <f t="shared" si="5"/>
        <v>106.55304051304842</v>
      </c>
      <c r="V12" s="150">
        <f t="shared" si="6"/>
        <v>2717191.0700000003</v>
      </c>
    </row>
    <row r="13" spans="1:22" ht="16.5">
      <c r="A13" s="15" t="s">
        <v>30</v>
      </c>
      <c r="B13" s="98">
        <f>I13+P13</f>
        <v>4995543</v>
      </c>
      <c r="C13" s="50">
        <f t="shared" si="0"/>
        <v>4844980.3899999997</v>
      </c>
      <c r="D13" s="54">
        <f t="shared" ref="D13:E15" si="10">K13+R13</f>
        <v>2002856</v>
      </c>
      <c r="E13" s="35">
        <f t="shared" si="10"/>
        <v>4900093.6100000003</v>
      </c>
      <c r="F13" s="13">
        <f t="shared" si="1"/>
        <v>98.089309010051565</v>
      </c>
      <c r="G13" s="13">
        <f t="shared" si="2"/>
        <v>101.13753236470788</v>
      </c>
      <c r="H13" s="13">
        <f t="shared" si="3"/>
        <v>55113.220000000671</v>
      </c>
      <c r="I13" s="109">
        <f>K13+L13+M13+N13</f>
        <v>0</v>
      </c>
      <c r="J13" s="117"/>
      <c r="K13" s="84">
        <v>0</v>
      </c>
      <c r="L13" s="66">
        <v>0</v>
      </c>
      <c r="M13" s="21"/>
      <c r="N13" s="25">
        <v>0</v>
      </c>
      <c r="O13" s="21">
        <f t="shared" si="4"/>
        <v>0</v>
      </c>
      <c r="P13" s="104">
        <v>4995543</v>
      </c>
      <c r="Q13" s="42">
        <v>4844980.3899999997</v>
      </c>
      <c r="R13" s="126">
        <v>2002856</v>
      </c>
      <c r="S13" s="91">
        <v>4900093.6100000003</v>
      </c>
      <c r="T13" s="21">
        <f>S13/P13*100</f>
        <v>98.089309010051565</v>
      </c>
      <c r="U13" s="148">
        <f t="shared" si="5"/>
        <v>101.13753236470788</v>
      </c>
      <c r="V13" s="150">
        <f t="shared" si="6"/>
        <v>55113.220000000671</v>
      </c>
    </row>
    <row r="14" spans="1:22" ht="16.5">
      <c r="A14" s="15" t="s">
        <v>5</v>
      </c>
      <c r="B14" s="98">
        <f>I14+P14</f>
        <v>19055809</v>
      </c>
      <c r="C14" s="50">
        <f t="shared" si="0"/>
        <v>21652734.07</v>
      </c>
      <c r="D14" s="54">
        <f t="shared" si="10"/>
        <v>12965136.15</v>
      </c>
      <c r="E14" s="35">
        <f t="shared" si="10"/>
        <v>24083453.170000002</v>
      </c>
      <c r="F14" s="13">
        <f t="shared" si="1"/>
        <v>126.38378758939072</v>
      </c>
      <c r="G14" s="13">
        <f t="shared" si="2"/>
        <v>111.22592228834407</v>
      </c>
      <c r="H14" s="13">
        <f t="shared" si="3"/>
        <v>2430719.1000000015</v>
      </c>
      <c r="I14" s="109">
        <f>K14+L14+M14+N14</f>
        <v>0</v>
      </c>
      <c r="J14" s="117"/>
      <c r="K14" s="84">
        <v>0</v>
      </c>
      <c r="L14" s="66">
        <v>0</v>
      </c>
      <c r="M14" s="21"/>
      <c r="N14" s="25">
        <v>0</v>
      </c>
      <c r="O14" s="21">
        <f t="shared" si="4"/>
        <v>0</v>
      </c>
      <c r="P14" s="104">
        <v>19055809</v>
      </c>
      <c r="Q14" s="42">
        <v>21652734.07</v>
      </c>
      <c r="R14" s="126">
        <v>12965136.15</v>
      </c>
      <c r="S14" s="91">
        <v>24083453.170000002</v>
      </c>
      <c r="T14" s="21">
        <f>S14/P14*100</f>
        <v>126.38378758939072</v>
      </c>
      <c r="U14" s="148">
        <f t="shared" si="5"/>
        <v>111.22592228834407</v>
      </c>
      <c r="V14" s="153">
        <f t="shared" si="6"/>
        <v>2430719.1000000015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0"/>
        <v>0</v>
      </c>
      <c r="E15" s="35">
        <f t="shared" si="10"/>
        <v>0</v>
      </c>
      <c r="F15" s="13"/>
      <c r="G15" s="13"/>
      <c r="H15" s="13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21"/>
      <c r="N15" s="25"/>
      <c r="O15" s="21">
        <f t="shared" si="4"/>
        <v>0</v>
      </c>
      <c r="P15" s="104">
        <f>R15+S15+T15+U15</f>
        <v>0</v>
      </c>
      <c r="Q15" s="41">
        <f>P15</f>
        <v>0</v>
      </c>
      <c r="R15" s="125">
        <v>0</v>
      </c>
      <c r="S15" s="66">
        <v>0</v>
      </c>
      <c r="T15" s="21"/>
      <c r="U15" s="148"/>
      <c r="V15" s="150">
        <f t="shared" si="6"/>
        <v>0</v>
      </c>
    </row>
    <row r="16" spans="1:22" ht="16.5">
      <c r="A16" s="14" t="s">
        <v>7</v>
      </c>
      <c r="B16" s="97">
        <f>B17+B18</f>
        <v>28535039</v>
      </c>
      <c r="C16" s="50">
        <f t="shared" si="0"/>
        <v>29206755.789999999</v>
      </c>
      <c r="D16" s="47">
        <f>D17+D18</f>
        <v>13159685.43</v>
      </c>
      <c r="E16" s="34">
        <f>E17+E18</f>
        <v>30396452.080000002</v>
      </c>
      <c r="F16" s="13">
        <f t="shared" si="1"/>
        <v>106.52325402463967</v>
      </c>
      <c r="G16" s="13">
        <f t="shared" si="2"/>
        <v>104.0733599395772</v>
      </c>
      <c r="H16" s="13">
        <f t="shared" si="3"/>
        <v>1189696.2900000028</v>
      </c>
      <c r="I16" s="30">
        <f>I17+I18</f>
        <v>14239885</v>
      </c>
      <c r="J16" s="116">
        <f>J17+J18</f>
        <v>14239885</v>
      </c>
      <c r="K16" s="82">
        <f>K17+K18</f>
        <v>6728626</v>
      </c>
      <c r="L16" s="32">
        <f>L17+L18</f>
        <v>15198222.539999999</v>
      </c>
      <c r="M16" s="21">
        <f>L16/I16*100</f>
        <v>106.72995280509639</v>
      </c>
      <c r="N16" s="25">
        <f>L16/J16*100</f>
        <v>106.72995280509639</v>
      </c>
      <c r="O16" s="21">
        <f t="shared" si="4"/>
        <v>958337.53999999911</v>
      </c>
      <c r="P16" s="103">
        <f>P17+P18</f>
        <v>14295154</v>
      </c>
      <c r="Q16" s="41">
        <f>Q17+Q18</f>
        <v>14966870.790000001</v>
      </c>
      <c r="R16" s="127">
        <f>R17+R18</f>
        <v>6431059.4299999997</v>
      </c>
      <c r="S16" s="32">
        <f>S17+S18</f>
        <v>15198229.539999999</v>
      </c>
      <c r="T16" s="21">
        <f>S16/P16*100</f>
        <v>106.31735439856051</v>
      </c>
      <c r="U16" s="148">
        <f t="shared" si="5"/>
        <v>101.5458057548982</v>
      </c>
      <c r="V16" s="150">
        <f t="shared" si="6"/>
        <v>231358.74999999814</v>
      </c>
    </row>
    <row r="17" spans="1:22" ht="16.5">
      <c r="A17" s="15" t="s">
        <v>8</v>
      </c>
      <c r="B17" s="98">
        <f>I17+P17</f>
        <v>4181134</v>
      </c>
      <c r="C17" s="50">
        <f t="shared" si="0"/>
        <v>4074038.05</v>
      </c>
      <c r="D17" s="54">
        <f t="shared" ref="D17:E20" si="11">K17+R17</f>
        <v>3254603.4299999997</v>
      </c>
      <c r="E17" s="35">
        <f t="shared" si="11"/>
        <v>3621872.55</v>
      </c>
      <c r="F17" s="13">
        <f t="shared" si="1"/>
        <v>86.624168228045306</v>
      </c>
      <c r="G17" s="13">
        <f t="shared" si="2"/>
        <v>88.9012941349431</v>
      </c>
      <c r="H17" s="13">
        <f t="shared" si="3"/>
        <v>-452165.5</v>
      </c>
      <c r="I17" s="109">
        <v>2034933</v>
      </c>
      <c r="J17" s="117">
        <v>2034933</v>
      </c>
      <c r="K17" s="132">
        <v>1688994</v>
      </c>
      <c r="L17" s="91">
        <v>1810936.02</v>
      </c>
      <c r="M17" s="21">
        <f t="shared" ref="M17:M37" si="12">L17/I17*100</f>
        <v>88.992414983687425</v>
      </c>
      <c r="N17" s="25">
        <f t="shared" ref="N17:N37" si="13">L17/J17*100</f>
        <v>88.992414983687425</v>
      </c>
      <c r="O17" s="21">
        <f t="shared" si="4"/>
        <v>-223996.97999999998</v>
      </c>
      <c r="P17" s="104">
        <v>2146201</v>
      </c>
      <c r="Q17" s="42">
        <v>2039105.05</v>
      </c>
      <c r="R17" s="126">
        <v>1565609.43</v>
      </c>
      <c r="S17" s="91">
        <v>1810936.53</v>
      </c>
      <c r="T17" s="21">
        <f t="shared" ref="T17:T37" si="14">S17/P17*100</f>
        <v>84.378701249323811</v>
      </c>
      <c r="U17" s="148">
        <f t="shared" si="5"/>
        <v>88.810359721290482</v>
      </c>
      <c r="V17" s="150">
        <f t="shared" si="6"/>
        <v>-228168.52000000002</v>
      </c>
    </row>
    <row r="18" spans="1:22" ht="16.5">
      <c r="A18" s="15" t="s">
        <v>9</v>
      </c>
      <c r="B18" s="98">
        <f>I18+P18</f>
        <v>24353905</v>
      </c>
      <c r="C18" s="50">
        <f t="shared" si="0"/>
        <v>25132717.740000002</v>
      </c>
      <c r="D18" s="54">
        <f t="shared" si="11"/>
        <v>9905082</v>
      </c>
      <c r="E18" s="35">
        <f t="shared" si="11"/>
        <v>26774579.530000001</v>
      </c>
      <c r="F18" s="13">
        <f t="shared" si="1"/>
        <v>109.93957449534275</v>
      </c>
      <c r="G18" s="13">
        <f t="shared" si="2"/>
        <v>106.53276659924005</v>
      </c>
      <c r="H18" s="13">
        <f t="shared" si="3"/>
        <v>1641861.7899999991</v>
      </c>
      <c r="I18" s="109">
        <v>12204952</v>
      </c>
      <c r="J18" s="117">
        <v>12204952</v>
      </c>
      <c r="K18" s="84">
        <v>5039632</v>
      </c>
      <c r="L18" s="91">
        <v>13387286.52</v>
      </c>
      <c r="M18" s="21">
        <f t="shared" si="12"/>
        <v>109.68733445244192</v>
      </c>
      <c r="N18" s="25">
        <f t="shared" si="13"/>
        <v>109.68733445244192</v>
      </c>
      <c r="O18" s="21">
        <f t="shared" si="4"/>
        <v>1182334.5199999996</v>
      </c>
      <c r="P18" s="104">
        <v>12148953</v>
      </c>
      <c r="Q18" s="42">
        <v>12927765.74</v>
      </c>
      <c r="R18" s="126">
        <v>4865450</v>
      </c>
      <c r="S18" s="91">
        <v>13387293.01</v>
      </c>
      <c r="T18" s="21">
        <f t="shared" si="14"/>
        <v>110.19297720552545</v>
      </c>
      <c r="U18" s="148">
        <f t="shared" si="5"/>
        <v>103.5545760902688</v>
      </c>
      <c r="V18" s="150">
        <f t="shared" si="6"/>
        <v>459527.26999999955</v>
      </c>
    </row>
    <row r="19" spans="1:22" ht="16.5">
      <c r="A19" s="14" t="s">
        <v>10</v>
      </c>
      <c r="B19" s="97">
        <f>I19+P19</f>
        <v>1188809</v>
      </c>
      <c r="C19" s="50">
        <f t="shared" si="0"/>
        <v>1213077</v>
      </c>
      <c r="D19" s="47">
        <f t="shared" si="11"/>
        <v>1044491</v>
      </c>
      <c r="E19" s="34">
        <f t="shared" si="11"/>
        <v>1466323.65</v>
      </c>
      <c r="F19" s="13">
        <f t="shared" si="1"/>
        <v>123.34392236263352</v>
      </c>
      <c r="G19" s="13">
        <f t="shared" si="2"/>
        <v>120.87638707188412</v>
      </c>
      <c r="H19" s="13">
        <f t="shared" si="3"/>
        <v>253246.64999999991</v>
      </c>
      <c r="I19" s="30">
        <v>721137</v>
      </c>
      <c r="J19" s="116">
        <v>721137</v>
      </c>
      <c r="K19" s="73">
        <v>692785</v>
      </c>
      <c r="L19" s="81">
        <v>903651.15</v>
      </c>
      <c r="M19" s="21">
        <f t="shared" si="12"/>
        <v>125.30922002337974</v>
      </c>
      <c r="N19" s="25">
        <f t="shared" si="13"/>
        <v>125.30922002337974</v>
      </c>
      <c r="O19" s="21">
        <f t="shared" si="4"/>
        <v>182514.15000000002</v>
      </c>
      <c r="P19" s="103">
        <v>467672</v>
      </c>
      <c r="Q19" s="41">
        <v>491940</v>
      </c>
      <c r="R19" s="96">
        <v>351706</v>
      </c>
      <c r="S19" s="81">
        <v>562672.5</v>
      </c>
      <c r="T19" s="21">
        <f t="shared" si="14"/>
        <v>120.31348894096719</v>
      </c>
      <c r="U19" s="148">
        <f t="shared" si="5"/>
        <v>114.37827783876082</v>
      </c>
      <c r="V19" s="150">
        <f t="shared" si="6"/>
        <v>70732.5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1"/>
        <v>0</v>
      </c>
      <c r="E20" s="34">
        <f t="shared" si="11"/>
        <v>497.8</v>
      </c>
      <c r="F20" s="13"/>
      <c r="G20" s="13"/>
      <c r="H20" s="13">
        <f t="shared" si="3"/>
        <v>497.8</v>
      </c>
      <c r="I20" s="109">
        <v>0</v>
      </c>
      <c r="J20" s="117">
        <v>0</v>
      </c>
      <c r="K20" s="84">
        <v>0</v>
      </c>
      <c r="L20" s="81">
        <v>497.8</v>
      </c>
      <c r="M20" s="21"/>
      <c r="N20" s="25"/>
      <c r="O20" s="21">
        <f t="shared" si="4"/>
        <v>497.8</v>
      </c>
      <c r="P20" s="104">
        <v>0</v>
      </c>
      <c r="Q20" s="41">
        <f>P20</f>
        <v>0</v>
      </c>
      <c r="R20" s="125"/>
      <c r="S20" s="66"/>
      <c r="T20" s="21"/>
      <c r="U20" s="148"/>
      <c r="V20" s="150">
        <f t="shared" si="6"/>
        <v>0</v>
      </c>
    </row>
    <row r="21" spans="1:22" ht="29.25" customHeight="1">
      <c r="A21" s="16" t="s">
        <v>21</v>
      </c>
      <c r="B21" s="99">
        <f>B22+B23+B24+B25+B26</f>
        <v>61453016</v>
      </c>
      <c r="C21" s="50">
        <f t="shared" si="0"/>
        <v>67693966.5</v>
      </c>
      <c r="D21" s="56">
        <f>D22+D23+D24+D25+D26</f>
        <v>57065594.920000002</v>
      </c>
      <c r="E21" s="36">
        <f>E22+E23+E24+E25+E26</f>
        <v>80284333.449999988</v>
      </c>
      <c r="F21" s="13">
        <f t="shared" si="1"/>
        <v>130.64343896481824</v>
      </c>
      <c r="G21" s="13">
        <f t="shared" si="2"/>
        <v>118.59894995220878</v>
      </c>
      <c r="H21" s="13">
        <f t="shared" si="3"/>
        <v>12590366.949999988</v>
      </c>
      <c r="I21" s="110">
        <f>I22+I23+I24+I25+I26</f>
        <v>29227362</v>
      </c>
      <c r="J21" s="118">
        <f>J22+J23+J24+J25+J26</f>
        <v>29227362</v>
      </c>
      <c r="K21" s="86">
        <f>K22+K23+K24+K25+K26</f>
        <v>29116731</v>
      </c>
      <c r="L21" s="67">
        <f>L22+L23+L24+L25+L26</f>
        <v>38614000.980000004</v>
      </c>
      <c r="M21" s="21">
        <f t="shared" si="12"/>
        <v>132.11592951837392</v>
      </c>
      <c r="N21" s="25">
        <f t="shared" si="13"/>
        <v>132.11592951837392</v>
      </c>
      <c r="O21" s="152">
        <f t="shared" si="4"/>
        <v>9386638.9800000042</v>
      </c>
      <c r="P21" s="105">
        <f>P22+P23+P24+P25+P26</f>
        <v>32225654</v>
      </c>
      <c r="Q21" s="133">
        <f>Q22+Q23+Q25+Q24</f>
        <v>38466604.5</v>
      </c>
      <c r="R21" s="135">
        <f>R22+R23+R25+R24</f>
        <v>27948863.920000002</v>
      </c>
      <c r="S21" s="134">
        <f>S22+S23+S25+S24</f>
        <v>41670332.469999999</v>
      </c>
      <c r="T21" s="21">
        <f t="shared" si="14"/>
        <v>129.30794971608643</v>
      </c>
      <c r="U21" s="148">
        <f t="shared" si="5"/>
        <v>108.3285957043596</v>
      </c>
      <c r="V21" s="153">
        <f t="shared" si="6"/>
        <v>3203727.9699999988</v>
      </c>
    </row>
    <row r="22" spans="1:22" ht="16.5">
      <c r="A22" s="15" t="s">
        <v>12</v>
      </c>
      <c r="B22" s="98">
        <f t="shared" ref="B22:B28" si="15">I22+P22</f>
        <v>57190337</v>
      </c>
      <c r="C22" s="50">
        <f t="shared" si="0"/>
        <v>63455571.43</v>
      </c>
      <c r="D22" s="54">
        <f t="shared" ref="D22:E28" si="16">K22+R22</f>
        <v>54118065.920000002</v>
      </c>
      <c r="E22" s="35">
        <f t="shared" si="16"/>
        <v>76240264.829999998</v>
      </c>
      <c r="F22" s="13">
        <f t="shared" si="1"/>
        <v>133.3096967587374</v>
      </c>
      <c r="G22" s="13">
        <f t="shared" si="2"/>
        <v>120.14747186400052</v>
      </c>
      <c r="H22" s="13">
        <f t="shared" si="3"/>
        <v>12784693.399999999</v>
      </c>
      <c r="I22" s="109">
        <f>28670231+72127</f>
        <v>28742358</v>
      </c>
      <c r="J22" s="117">
        <f>28670231+72127</f>
        <v>28742358</v>
      </c>
      <c r="K22" s="84">
        <f>28670231+55000</f>
        <v>28725231</v>
      </c>
      <c r="L22" s="66">
        <f>38026694.42+169414.32</f>
        <v>38196108.740000002</v>
      </c>
      <c r="M22" s="21">
        <f t="shared" si="12"/>
        <v>132.8913540774908</v>
      </c>
      <c r="N22" s="25">
        <f t="shared" si="13"/>
        <v>132.8913540774908</v>
      </c>
      <c r="O22" s="21">
        <f t="shared" si="4"/>
        <v>9453750.7400000021</v>
      </c>
      <c r="P22" s="104">
        <f>28431018+16961</f>
        <v>28447979</v>
      </c>
      <c r="Q22" s="42">
        <f>34696249.43+16964</f>
        <v>34713213.43</v>
      </c>
      <c r="R22" s="125">
        <f>25380834.92+12000</f>
        <v>25392834.920000002</v>
      </c>
      <c r="S22" s="66">
        <f>38026706.91+17449.18</f>
        <v>38044156.089999996</v>
      </c>
      <c r="T22" s="21">
        <f t="shared" si="14"/>
        <v>133.73236843995139</v>
      </c>
      <c r="U22" s="148">
        <f t="shared" si="5"/>
        <v>109.59560447123953</v>
      </c>
      <c r="V22" s="150">
        <f t="shared" si="6"/>
        <v>3330942.6599999964</v>
      </c>
    </row>
    <row r="23" spans="1:22" ht="30" customHeight="1">
      <c r="A23" s="17" t="s">
        <v>25</v>
      </c>
      <c r="B23" s="100">
        <f t="shared" si="15"/>
        <v>3730379</v>
      </c>
      <c r="C23" s="50">
        <f t="shared" si="0"/>
        <v>3725000.07</v>
      </c>
      <c r="D23" s="58">
        <f t="shared" si="16"/>
        <v>2583943</v>
      </c>
      <c r="E23" s="37">
        <f t="shared" si="16"/>
        <v>3856915.41</v>
      </c>
      <c r="F23" s="13">
        <f t="shared" si="1"/>
        <v>103.39205238931486</v>
      </c>
      <c r="G23" s="13">
        <f t="shared" si="2"/>
        <v>103.54135134284709</v>
      </c>
      <c r="H23" s="13">
        <f t="shared" si="3"/>
        <v>131915.34000000032</v>
      </c>
      <c r="I23" s="111">
        <v>475004</v>
      </c>
      <c r="J23" s="119">
        <v>475004</v>
      </c>
      <c r="K23" s="87">
        <v>381500</v>
      </c>
      <c r="L23" s="92">
        <v>417892.24</v>
      </c>
      <c r="M23" s="21">
        <f t="shared" si="12"/>
        <v>87.976572828860384</v>
      </c>
      <c r="N23" s="25">
        <f t="shared" si="13"/>
        <v>87.976572828860384</v>
      </c>
      <c r="O23" s="21">
        <f t="shared" si="4"/>
        <v>-57111.760000000009</v>
      </c>
      <c r="P23" s="106">
        <v>3255375</v>
      </c>
      <c r="Q23" s="42">
        <v>3249996.07</v>
      </c>
      <c r="R23" s="128">
        <v>2202443</v>
      </c>
      <c r="S23" s="92">
        <v>3439023.17</v>
      </c>
      <c r="T23" s="21">
        <f t="shared" si="14"/>
        <v>105.64138294359329</v>
      </c>
      <c r="U23" s="148">
        <f t="shared" si="5"/>
        <v>105.81622549469729</v>
      </c>
      <c r="V23" s="150">
        <f t="shared" si="6"/>
        <v>189027.10000000009</v>
      </c>
    </row>
    <row r="24" spans="1:22" ht="17.25" customHeight="1">
      <c r="A24" s="18" t="s">
        <v>26</v>
      </c>
      <c r="B24" s="98">
        <f t="shared" si="15"/>
        <v>10000</v>
      </c>
      <c r="C24" s="50">
        <f t="shared" si="0"/>
        <v>10000</v>
      </c>
      <c r="D24" s="54">
        <f t="shared" si="16"/>
        <v>10000</v>
      </c>
      <c r="E24" s="35">
        <f t="shared" si="16"/>
        <v>38810</v>
      </c>
      <c r="F24" s="13">
        <f t="shared" si="1"/>
        <v>388.09999999999997</v>
      </c>
      <c r="G24" s="13">
        <f t="shared" si="2"/>
        <v>388.09999999999997</v>
      </c>
      <c r="H24" s="13">
        <f t="shared" si="3"/>
        <v>28810</v>
      </c>
      <c r="I24" s="109">
        <v>10000</v>
      </c>
      <c r="J24" s="117">
        <v>10000</v>
      </c>
      <c r="K24" s="84">
        <v>10000</v>
      </c>
      <c r="L24" s="66">
        <v>0</v>
      </c>
      <c r="M24" s="21">
        <f t="shared" si="12"/>
        <v>0</v>
      </c>
      <c r="N24" s="25">
        <f t="shared" si="13"/>
        <v>0</v>
      </c>
      <c r="O24" s="21">
        <f t="shared" si="4"/>
        <v>-10000</v>
      </c>
      <c r="P24" s="104"/>
      <c r="Q24" s="41">
        <f>P24</f>
        <v>0</v>
      </c>
      <c r="R24" s="125"/>
      <c r="S24" s="66">
        <v>38810</v>
      </c>
      <c r="T24" s="21"/>
      <c r="U24" s="148"/>
      <c r="V24" s="150">
        <f t="shared" si="6"/>
        <v>38810</v>
      </c>
    </row>
    <row r="25" spans="1:22" ht="31.5" customHeight="1">
      <c r="A25" s="17" t="s">
        <v>24</v>
      </c>
      <c r="B25" s="100">
        <f t="shared" si="15"/>
        <v>522300</v>
      </c>
      <c r="C25" s="50">
        <f t="shared" si="0"/>
        <v>503395</v>
      </c>
      <c r="D25" s="58">
        <f t="shared" si="16"/>
        <v>353586</v>
      </c>
      <c r="E25" s="37">
        <f t="shared" si="16"/>
        <v>148343.21</v>
      </c>
      <c r="F25" s="13">
        <f t="shared" si="1"/>
        <v>28.40191652307103</v>
      </c>
      <c r="G25" s="13">
        <f t="shared" si="2"/>
        <v>29.468550541821031</v>
      </c>
      <c r="H25" s="13">
        <f t="shared" si="3"/>
        <v>-355051.79000000004</v>
      </c>
      <c r="I25" s="111">
        <v>0</v>
      </c>
      <c r="J25" s="119">
        <v>0</v>
      </c>
      <c r="K25" s="87">
        <v>0</v>
      </c>
      <c r="L25" s="68">
        <v>0</v>
      </c>
      <c r="M25" s="21"/>
      <c r="N25" s="25"/>
      <c r="O25" s="21">
        <f t="shared" si="4"/>
        <v>0</v>
      </c>
      <c r="P25" s="106">
        <v>522300</v>
      </c>
      <c r="Q25" s="41">
        <v>503395</v>
      </c>
      <c r="R25" s="128">
        <v>353586</v>
      </c>
      <c r="S25" s="92">
        <v>148343.21</v>
      </c>
      <c r="T25" s="21">
        <f t="shared" si="14"/>
        <v>28.40191652307103</v>
      </c>
      <c r="U25" s="148">
        <f t="shared" si="5"/>
        <v>29.468550541821031</v>
      </c>
      <c r="V25" s="150">
        <f t="shared" si="6"/>
        <v>-355051.79000000004</v>
      </c>
    </row>
    <row r="26" spans="1:22" ht="16.5" hidden="1">
      <c r="A26" s="18" t="s">
        <v>27</v>
      </c>
      <c r="B26" s="98">
        <f t="shared" si="15"/>
        <v>0</v>
      </c>
      <c r="C26" s="50">
        <f t="shared" si="0"/>
        <v>0</v>
      </c>
      <c r="D26" s="54">
        <f t="shared" si="16"/>
        <v>0</v>
      </c>
      <c r="E26" s="35">
        <f t="shared" si="16"/>
        <v>0</v>
      </c>
      <c r="F26" s="13" t="e">
        <f t="shared" si="1"/>
        <v>#DIV/0!</v>
      </c>
      <c r="G26" s="13" t="e">
        <f t="shared" si="2"/>
        <v>#DIV/0!</v>
      </c>
      <c r="H26" s="13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21" t="e">
        <f t="shared" si="12"/>
        <v>#DIV/0!</v>
      </c>
      <c r="N26" s="25" t="e">
        <f t="shared" si="13"/>
        <v>#DIV/0!</v>
      </c>
      <c r="O26" s="21">
        <f t="shared" si="4"/>
        <v>0</v>
      </c>
      <c r="P26" s="104">
        <v>0</v>
      </c>
      <c r="Q26" s="41">
        <f>P26</f>
        <v>0</v>
      </c>
      <c r="R26" s="125"/>
      <c r="S26" s="66"/>
      <c r="T26" s="21" t="e">
        <f t="shared" si="14"/>
        <v>#DIV/0!</v>
      </c>
      <c r="U26" s="148" t="e">
        <f t="shared" si="5"/>
        <v>#DIV/0!</v>
      </c>
      <c r="V26" s="150">
        <f t="shared" si="6"/>
        <v>0</v>
      </c>
    </row>
    <row r="27" spans="1:22" ht="18.75" customHeight="1">
      <c r="A27" s="16" t="s">
        <v>22</v>
      </c>
      <c r="B27" s="101">
        <f t="shared" si="15"/>
        <v>2387600</v>
      </c>
      <c r="C27" s="50">
        <f t="shared" si="0"/>
        <v>14677995.880000001</v>
      </c>
      <c r="D27" s="60">
        <f t="shared" si="16"/>
        <v>11005752.83</v>
      </c>
      <c r="E27" s="38">
        <f t="shared" si="16"/>
        <v>15725725.439999999</v>
      </c>
      <c r="F27" s="13">
        <f t="shared" si="1"/>
        <v>658.64154129669964</v>
      </c>
      <c r="G27" s="13">
        <f t="shared" si="2"/>
        <v>107.13809683941673</v>
      </c>
      <c r="H27" s="13">
        <f t="shared" si="3"/>
        <v>1047729.5599999987</v>
      </c>
      <c r="I27" s="112">
        <v>2387600</v>
      </c>
      <c r="J27" s="138">
        <v>14677995.880000001</v>
      </c>
      <c r="K27" s="93">
        <v>11005752.83</v>
      </c>
      <c r="L27" s="81">
        <v>15725725.439999999</v>
      </c>
      <c r="M27" s="21">
        <f t="shared" si="12"/>
        <v>658.64154129669964</v>
      </c>
      <c r="N27" s="25">
        <f t="shared" si="13"/>
        <v>107.13809683941673</v>
      </c>
      <c r="O27" s="21">
        <f t="shared" si="4"/>
        <v>1047729.5599999987</v>
      </c>
      <c r="P27" s="107">
        <v>0</v>
      </c>
      <c r="Q27" s="41">
        <f>P27</f>
        <v>0</v>
      </c>
      <c r="R27" s="129"/>
      <c r="S27" s="68"/>
      <c r="T27" s="21"/>
      <c r="U27" s="148"/>
      <c r="V27" s="150">
        <f t="shared" si="6"/>
        <v>0</v>
      </c>
    </row>
    <row r="28" spans="1:22" ht="16.5">
      <c r="A28" s="14" t="s">
        <v>13</v>
      </c>
      <c r="B28" s="97">
        <f t="shared" si="15"/>
        <v>137500</v>
      </c>
      <c r="C28" s="50">
        <f t="shared" si="0"/>
        <v>826438.02</v>
      </c>
      <c r="D28" s="47">
        <f t="shared" si="16"/>
        <v>764585.02</v>
      </c>
      <c r="E28" s="34">
        <f t="shared" si="16"/>
        <v>1417878.74</v>
      </c>
      <c r="F28" s="13">
        <f t="shared" si="1"/>
        <v>1031.1845381818182</v>
      </c>
      <c r="G28" s="13">
        <f t="shared" si="2"/>
        <v>171.56504246985151</v>
      </c>
      <c r="H28" s="13">
        <f t="shared" si="3"/>
        <v>591440.72</v>
      </c>
      <c r="I28" s="103">
        <v>137500</v>
      </c>
      <c r="J28" s="120">
        <f>549829.5+137500</f>
        <v>687329.5</v>
      </c>
      <c r="K28" s="76">
        <f>549829.5+117013</f>
        <v>666842.5</v>
      </c>
      <c r="L28" s="81">
        <v>1167260.04</v>
      </c>
      <c r="M28" s="21">
        <f t="shared" si="12"/>
        <v>848.91639272727275</v>
      </c>
      <c r="N28" s="25">
        <f t="shared" si="13"/>
        <v>169.82539524347493</v>
      </c>
      <c r="O28" s="21">
        <f t="shared" si="4"/>
        <v>479930.54000000004</v>
      </c>
      <c r="P28" s="103">
        <v>0</v>
      </c>
      <c r="Q28" s="41">
        <v>139108.51999999999</v>
      </c>
      <c r="R28" s="96">
        <v>97742.52</v>
      </c>
      <c r="S28" s="81">
        <v>250618.7</v>
      </c>
      <c r="T28" s="21"/>
      <c r="U28" s="148">
        <f t="shared" si="5"/>
        <v>180.16056816649336</v>
      </c>
      <c r="V28" s="150">
        <f t="shared" si="6"/>
        <v>111510.18000000002</v>
      </c>
    </row>
    <row r="29" spans="1:22" ht="26.25" customHeight="1">
      <c r="A29" s="16" t="s">
        <v>23</v>
      </c>
      <c r="B29" s="101">
        <f>B30+B31</f>
        <v>5337494</v>
      </c>
      <c r="C29" s="50">
        <f t="shared" si="0"/>
        <v>20210271.949999999</v>
      </c>
      <c r="D29" s="60">
        <f>D30+D31</f>
        <v>9916896.0999999996</v>
      </c>
      <c r="E29" s="38">
        <f>E30+E31</f>
        <v>27231801.939999998</v>
      </c>
      <c r="F29" s="13">
        <f t="shared" si="1"/>
        <v>510.19826795121446</v>
      </c>
      <c r="G29" s="13">
        <f t="shared" si="2"/>
        <v>134.74238252395213</v>
      </c>
      <c r="H29" s="13">
        <f t="shared" si="3"/>
        <v>7021529.9899999984</v>
      </c>
      <c r="I29" s="113">
        <f>I30+I31</f>
        <v>2594100</v>
      </c>
      <c r="J29" s="121">
        <f>J30+J31</f>
        <v>8834935</v>
      </c>
      <c r="K29" s="88">
        <f>K30+K31</f>
        <v>2594100</v>
      </c>
      <c r="L29" s="69">
        <f>L30+L31</f>
        <v>12903620.66</v>
      </c>
      <c r="M29" s="21">
        <f t="shared" si="12"/>
        <v>497.42186731429013</v>
      </c>
      <c r="N29" s="25">
        <f t="shared" si="13"/>
        <v>146.05224215005543</v>
      </c>
      <c r="O29" s="152">
        <f t="shared" si="4"/>
        <v>4068685.66</v>
      </c>
      <c r="P29" s="107">
        <f>P30+P31</f>
        <v>2743394</v>
      </c>
      <c r="Q29" s="41">
        <f>Q30+Q31</f>
        <v>11375336.949999999</v>
      </c>
      <c r="R29" s="130">
        <f>R30+R31</f>
        <v>7322796.0999999996</v>
      </c>
      <c r="S29" s="69">
        <f>S30+S31</f>
        <v>14328181.280000001</v>
      </c>
      <c r="T29" s="21">
        <f t="shared" si="14"/>
        <v>522.27938385809705</v>
      </c>
      <c r="U29" s="148">
        <f t="shared" si="5"/>
        <v>125.95830209671286</v>
      </c>
      <c r="V29" s="153">
        <f t="shared" si="6"/>
        <v>2952844.3300000019</v>
      </c>
    </row>
    <row r="30" spans="1:22" ht="16.5">
      <c r="A30" s="15" t="s">
        <v>14</v>
      </c>
      <c r="B30" s="98">
        <f>I30+P30</f>
        <v>381294</v>
      </c>
      <c r="C30" s="50">
        <f t="shared" si="0"/>
        <v>4987049.51</v>
      </c>
      <c r="D30" s="54">
        <f t="shared" ref="D30:E32" si="17">K30+R30</f>
        <v>1506694</v>
      </c>
      <c r="E30" s="35">
        <f t="shared" si="17"/>
        <v>8692634.2599999998</v>
      </c>
      <c r="F30" s="13">
        <f t="shared" si="1"/>
        <v>2279.7721076124981</v>
      </c>
      <c r="G30" s="13">
        <f t="shared" si="2"/>
        <v>174.30415003038539</v>
      </c>
      <c r="H30" s="13">
        <f t="shared" si="3"/>
        <v>3705584.75</v>
      </c>
      <c r="I30" s="109">
        <v>150000</v>
      </c>
      <c r="J30" s="117">
        <v>2690835</v>
      </c>
      <c r="K30" s="84">
        <v>150000</v>
      </c>
      <c r="L30" s="91">
        <v>4773372.8899999997</v>
      </c>
      <c r="M30" s="21">
        <f t="shared" si="12"/>
        <v>3182.2485933333332</v>
      </c>
      <c r="N30" s="25">
        <f t="shared" si="13"/>
        <v>177.39374171957775</v>
      </c>
      <c r="O30" s="21">
        <f t="shared" si="4"/>
        <v>2082537.8899999997</v>
      </c>
      <c r="P30" s="104">
        <v>231294</v>
      </c>
      <c r="Q30" s="42">
        <v>2296214.5099999998</v>
      </c>
      <c r="R30" s="126">
        <v>1356694</v>
      </c>
      <c r="S30" s="91">
        <v>3919261.37</v>
      </c>
      <c r="T30" s="21">
        <f t="shared" si="14"/>
        <v>1694.4933158663864</v>
      </c>
      <c r="U30" s="148">
        <f t="shared" si="5"/>
        <v>170.6835904455634</v>
      </c>
      <c r="V30" s="150">
        <f t="shared" si="6"/>
        <v>1623046.8600000003</v>
      </c>
    </row>
    <row r="31" spans="1:22" ht="16.5">
      <c r="A31" s="15" t="s">
        <v>15</v>
      </c>
      <c r="B31" s="98">
        <f>I31+P31</f>
        <v>4956200</v>
      </c>
      <c r="C31" s="50">
        <f t="shared" si="0"/>
        <v>15223222.439999999</v>
      </c>
      <c r="D31" s="54">
        <f t="shared" si="17"/>
        <v>8410202.0999999996</v>
      </c>
      <c r="E31" s="35">
        <f t="shared" si="17"/>
        <v>18539167.68</v>
      </c>
      <c r="F31" s="13">
        <f t="shared" si="1"/>
        <v>374.06012025341994</v>
      </c>
      <c r="G31" s="13">
        <f t="shared" si="2"/>
        <v>121.78215061278446</v>
      </c>
      <c r="H31" s="13">
        <f t="shared" si="3"/>
        <v>3315945.24</v>
      </c>
      <c r="I31" s="109">
        <v>2444100</v>
      </c>
      <c r="J31" s="117">
        <v>6144100</v>
      </c>
      <c r="K31" s="84">
        <v>2444100</v>
      </c>
      <c r="L31" s="91">
        <v>8130247.7699999996</v>
      </c>
      <c r="M31" s="21">
        <f t="shared" si="12"/>
        <v>332.64791825211734</v>
      </c>
      <c r="N31" s="25">
        <f t="shared" si="13"/>
        <v>132.32609771976368</v>
      </c>
      <c r="O31" s="21">
        <f t="shared" si="4"/>
        <v>1986147.7699999996</v>
      </c>
      <c r="P31" s="104">
        <v>2512100</v>
      </c>
      <c r="Q31" s="42">
        <v>9079122.4399999995</v>
      </c>
      <c r="R31" s="136">
        <v>5966102.0999999996</v>
      </c>
      <c r="S31" s="91">
        <v>10408919.91</v>
      </c>
      <c r="T31" s="21">
        <f t="shared" si="14"/>
        <v>414.35133593407903</v>
      </c>
      <c r="U31" s="148">
        <f t="shared" si="5"/>
        <v>114.64676215997811</v>
      </c>
      <c r="V31" s="150">
        <f t="shared" si="6"/>
        <v>1329797.4700000007</v>
      </c>
    </row>
    <row r="32" spans="1:22" ht="16.5">
      <c r="A32" s="14" t="s">
        <v>16</v>
      </c>
      <c r="B32" s="97">
        <f>I32+P32</f>
        <v>315620</v>
      </c>
      <c r="C32" s="50">
        <f t="shared" si="0"/>
        <v>328622.36</v>
      </c>
      <c r="D32" s="47">
        <f t="shared" si="17"/>
        <v>228780.41</v>
      </c>
      <c r="E32" s="34">
        <f t="shared" si="17"/>
        <v>970771.08000000007</v>
      </c>
      <c r="F32" s="13">
        <f t="shared" si="1"/>
        <v>307.57590773715231</v>
      </c>
      <c r="G32" s="13">
        <f t="shared" si="2"/>
        <v>295.40627728435766</v>
      </c>
      <c r="H32" s="13">
        <f t="shared" si="3"/>
        <v>642148.72000000009</v>
      </c>
      <c r="I32" s="30">
        <v>315620</v>
      </c>
      <c r="J32" s="116">
        <v>315620</v>
      </c>
      <c r="K32" s="82">
        <v>227958</v>
      </c>
      <c r="L32" s="81">
        <v>954747.68</v>
      </c>
      <c r="M32" s="21">
        <f t="shared" si="12"/>
        <v>302.49910652049937</v>
      </c>
      <c r="N32" s="25">
        <f t="shared" si="13"/>
        <v>302.49910652049937</v>
      </c>
      <c r="O32" s="21">
        <f t="shared" si="4"/>
        <v>639127.68000000005</v>
      </c>
      <c r="P32" s="103">
        <v>0</v>
      </c>
      <c r="Q32" s="41">
        <v>13002.36</v>
      </c>
      <c r="R32" s="96">
        <v>822.41</v>
      </c>
      <c r="S32" s="81">
        <v>16023.4</v>
      </c>
      <c r="T32" s="21"/>
      <c r="U32" s="148">
        <f t="shared" si="5"/>
        <v>123.23455126607786</v>
      </c>
      <c r="V32" s="150">
        <f t="shared" si="6"/>
        <v>3021.0399999999991</v>
      </c>
    </row>
    <row r="33" spans="1:22" ht="16.5">
      <c r="A33" s="14" t="s">
        <v>17</v>
      </c>
      <c r="B33" s="97">
        <f>B34+B35+B36</f>
        <v>0</v>
      </c>
      <c r="C33" s="50">
        <f t="shared" si="0"/>
        <v>2534488.87</v>
      </c>
      <c r="D33" s="47">
        <f>D34+D35+D36</f>
        <v>1310039.8400000001</v>
      </c>
      <c r="E33" s="34">
        <f>E34+E35+E36</f>
        <v>2580739.71</v>
      </c>
      <c r="F33" s="13"/>
      <c r="G33" s="13">
        <f t="shared" si="2"/>
        <v>101.82485867456185</v>
      </c>
      <c r="H33" s="13">
        <f t="shared" si="3"/>
        <v>46250.839999999851</v>
      </c>
      <c r="I33" s="30">
        <v>0</v>
      </c>
      <c r="J33" s="116">
        <v>0</v>
      </c>
      <c r="K33" s="82">
        <f>K34+K35+K36</f>
        <v>0</v>
      </c>
      <c r="L33" s="32">
        <f>L34+L35+L36</f>
        <v>34333.549999999996</v>
      </c>
      <c r="M33" s="21"/>
      <c r="N33" s="25"/>
      <c r="O33" s="21">
        <f t="shared" si="4"/>
        <v>34333.549999999996</v>
      </c>
      <c r="P33" s="103">
        <v>0</v>
      </c>
      <c r="Q33" s="41">
        <f>Q34+Q35+Q36</f>
        <v>2534488.87</v>
      </c>
      <c r="R33" s="124">
        <f>R34+R35+R36</f>
        <v>1310039.8400000001</v>
      </c>
      <c r="S33" s="32">
        <f>S34+S35+S36</f>
        <v>2546406.16</v>
      </c>
      <c r="T33" s="21"/>
      <c r="U33" s="148">
        <f t="shared" si="5"/>
        <v>100.47020486619853</v>
      </c>
      <c r="V33" s="150">
        <f t="shared" si="6"/>
        <v>11917.290000000037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t="shared" ref="D34:E36" si="18">K34++R34</f>
        <v>0</v>
      </c>
      <c r="E34" s="35">
        <f t="shared" si="18"/>
        <v>-2242.7200000000003</v>
      </c>
      <c r="F34" s="13"/>
      <c r="G34" s="13"/>
      <c r="H34" s="13">
        <f t="shared" si="3"/>
        <v>-2242.7200000000003</v>
      </c>
      <c r="I34" s="109"/>
      <c r="J34" s="117"/>
      <c r="K34" s="84"/>
      <c r="L34" s="66">
        <v>1545.28</v>
      </c>
      <c r="M34" s="21"/>
      <c r="N34" s="25"/>
      <c r="O34" s="21">
        <f t="shared" si="4"/>
        <v>1545.28</v>
      </c>
      <c r="P34" s="104">
        <v>0</v>
      </c>
      <c r="Q34" s="41">
        <f>P34</f>
        <v>0</v>
      </c>
      <c r="R34" s="125">
        <v>0</v>
      </c>
      <c r="S34" s="81">
        <v>-3788</v>
      </c>
      <c r="T34" s="21"/>
      <c r="U34" s="148"/>
      <c r="V34" s="150">
        <f t="shared" si="6"/>
        <v>-3788</v>
      </c>
    </row>
    <row r="35" spans="1:22" ht="16.5">
      <c r="A35" s="15" t="s">
        <v>19</v>
      </c>
      <c r="B35" s="98">
        <f>I35+P35</f>
        <v>0</v>
      </c>
      <c r="C35" s="50">
        <f t="shared" si="0"/>
        <v>2523688.87</v>
      </c>
      <c r="D35" s="54">
        <f t="shared" si="18"/>
        <v>1300439.8400000001</v>
      </c>
      <c r="E35" s="35">
        <f t="shared" si="18"/>
        <v>2572182.4300000002</v>
      </c>
      <c r="F35" s="13"/>
      <c r="G35" s="13">
        <f t="shared" si="2"/>
        <v>101.92153480472416</v>
      </c>
      <c r="H35" s="13">
        <f t="shared" si="3"/>
        <v>48493.560000000056</v>
      </c>
      <c r="I35" s="109">
        <v>0</v>
      </c>
      <c r="J35" s="117">
        <v>0</v>
      </c>
      <c r="K35" s="84">
        <v>0</v>
      </c>
      <c r="L35" s="81">
        <v>32788.269999999997</v>
      </c>
      <c r="M35" s="21"/>
      <c r="N35" s="25"/>
      <c r="O35" s="21">
        <f t="shared" si="4"/>
        <v>32788.269999999997</v>
      </c>
      <c r="P35" s="104">
        <v>0</v>
      </c>
      <c r="Q35" s="41">
        <v>2523688.87</v>
      </c>
      <c r="R35" s="96">
        <v>1300439.8400000001</v>
      </c>
      <c r="S35" s="81">
        <v>2539394.16</v>
      </c>
      <c r="T35" s="21"/>
      <c r="U35" s="148">
        <f t="shared" si="5"/>
        <v>100.62231482599518</v>
      </c>
      <c r="V35" s="150">
        <f t="shared" si="6"/>
        <v>15705.290000000037</v>
      </c>
    </row>
    <row r="36" spans="1:22" ht="16.5">
      <c r="A36" s="15" t="s">
        <v>38</v>
      </c>
      <c r="B36" s="98">
        <f>I36+P36</f>
        <v>0</v>
      </c>
      <c r="C36" s="50">
        <f t="shared" si="0"/>
        <v>10800</v>
      </c>
      <c r="D36" s="54">
        <f t="shared" si="18"/>
        <v>9600</v>
      </c>
      <c r="E36" s="35">
        <f t="shared" si="18"/>
        <v>10800</v>
      </c>
      <c r="F36" s="13"/>
      <c r="G36" s="13">
        <f t="shared" si="2"/>
        <v>100</v>
      </c>
      <c r="H36" s="13">
        <f t="shared" si="3"/>
        <v>0</v>
      </c>
      <c r="I36" s="109"/>
      <c r="J36" s="117"/>
      <c r="K36" s="84"/>
      <c r="L36" s="66"/>
      <c r="M36" s="21"/>
      <c r="N36" s="25"/>
      <c r="O36" s="21">
        <f t="shared" si="4"/>
        <v>0</v>
      </c>
      <c r="P36" s="104">
        <v>0</v>
      </c>
      <c r="Q36" s="41">
        <v>10800</v>
      </c>
      <c r="R36" s="96">
        <v>9600</v>
      </c>
      <c r="S36" s="81">
        <v>10800</v>
      </c>
      <c r="T36" s="21"/>
      <c r="U36" s="148">
        <f t="shared" si="5"/>
        <v>100</v>
      </c>
      <c r="V36" s="150">
        <f t="shared" si="6"/>
        <v>0</v>
      </c>
    </row>
    <row r="37" spans="1:22" ht="21.75" customHeight="1" thickBot="1">
      <c r="A37" s="20" t="s">
        <v>20</v>
      </c>
      <c r="B37" s="62">
        <f>I37+P37</f>
        <v>248041311</v>
      </c>
      <c r="C37" s="50">
        <f t="shared" si="0"/>
        <v>291817786.49000001</v>
      </c>
      <c r="D37" s="62">
        <f>K37+R37</f>
        <v>202312714.87</v>
      </c>
      <c r="E37" s="39">
        <f>L37+S37</f>
        <v>312525085.19</v>
      </c>
      <c r="F37" s="13">
        <f t="shared" si="1"/>
        <v>125.99719132673025</v>
      </c>
      <c r="G37" s="13">
        <f t="shared" si="2"/>
        <v>107.09596866903436</v>
      </c>
      <c r="H37" s="13">
        <f t="shared" si="3"/>
        <v>20707298.699999988</v>
      </c>
      <c r="I37" s="108">
        <f t="shared" ref="I37:S37" si="19">I5</f>
        <v>132541704</v>
      </c>
      <c r="J37" s="122">
        <f t="shared" si="19"/>
        <v>151622764.38</v>
      </c>
      <c r="K37" s="80">
        <f t="shared" si="19"/>
        <v>110436376.33</v>
      </c>
      <c r="L37" s="70">
        <f t="shared" si="19"/>
        <v>165715291.09999999</v>
      </c>
      <c r="M37" s="21">
        <f t="shared" si="12"/>
        <v>125.02879176806117</v>
      </c>
      <c r="N37" s="25">
        <f t="shared" si="13"/>
        <v>109.29446628784648</v>
      </c>
      <c r="O37" s="21">
        <f t="shared" si="4"/>
        <v>14092526.719999999</v>
      </c>
      <c r="P37" s="108">
        <f t="shared" si="19"/>
        <v>115499607</v>
      </c>
      <c r="Q37" s="122">
        <f t="shared" si="19"/>
        <v>140195022.11000001</v>
      </c>
      <c r="R37" s="131">
        <f t="shared" si="19"/>
        <v>91876338.539999992</v>
      </c>
      <c r="S37" s="70">
        <f t="shared" si="19"/>
        <v>146809794.09</v>
      </c>
      <c r="T37" s="154">
        <f t="shared" si="14"/>
        <v>127.10847933015046</v>
      </c>
      <c r="U37" s="155">
        <f t="shared" si="5"/>
        <v>104.71826451499105</v>
      </c>
      <c r="V37" s="151">
        <f t="shared" si="6"/>
        <v>6614771.9799999893</v>
      </c>
    </row>
    <row r="38" spans="1:22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spans="1:22" hidden="1"/>
  </sheetData>
  <mergeCells count="5">
    <mergeCell ref="A2:G2"/>
    <mergeCell ref="A3:A4"/>
    <mergeCell ref="B3:G3"/>
    <mergeCell ref="I3:N3"/>
    <mergeCell ref="P3:V3"/>
  </mergeCells>
  <pageMargins left="0.70866141732283472" right="0" top="0.74803149606299213" bottom="0" header="0.31496062992125984" footer="0.31496062992125984"/>
  <pageSetup paperSize="9" scale="67" fitToWidth="2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opLeftCell="A2" zoomScale="84" zoomScaleNormal="84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2" sqref="A1:IV65536"/>
    </sheetView>
  </sheetViews>
  <sheetFormatPr defaultRowHeight="12.75"/>
  <cols>
    <col min="1" max="1" width="54.28515625" customWidth="1"/>
    <col min="2" max="3" width="13.5703125" style="1" customWidth="1"/>
    <col min="4" max="4" width="14.7109375" customWidth="1"/>
    <col min="5" max="5" width="15.140625" customWidth="1"/>
    <col min="6" max="6" width="9.28515625" customWidth="1"/>
    <col min="7" max="7" width="8.85546875" customWidth="1"/>
    <col min="8" max="8" width="11.5703125" customWidth="1"/>
    <col min="9" max="9" width="14.42578125" customWidth="1"/>
    <col min="10" max="10" width="13.5703125" customWidth="1"/>
    <col min="11" max="11" width="14.42578125" customWidth="1"/>
    <col min="12" max="12" width="14.28515625" customWidth="1"/>
    <col min="13" max="13" width="8.42578125" customWidth="1"/>
    <col min="14" max="14" width="7.85546875" customWidth="1"/>
    <col min="15" max="15" width="12.140625" customWidth="1"/>
    <col min="16" max="17" width="13.7109375" customWidth="1"/>
    <col min="18" max="18" width="13.42578125" customWidth="1"/>
    <col min="19" max="19" width="13.7109375" customWidth="1"/>
    <col min="20" max="20" width="8.28515625" customWidth="1"/>
    <col min="21" max="21" width="7.85546875" customWidth="1"/>
    <col min="22" max="22" width="14.140625" customWidth="1"/>
  </cols>
  <sheetData>
    <row r="1" spans="1:22" hidden="1"/>
    <row r="2" spans="1:22" ht="20.25" customHeight="1" thickBot="1">
      <c r="A2" s="293" t="s">
        <v>52</v>
      </c>
      <c r="B2" s="293"/>
      <c r="C2" s="293"/>
      <c r="D2" s="293"/>
      <c r="E2" s="293"/>
      <c r="F2" s="293"/>
      <c r="G2" s="293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294" t="s">
        <v>0</v>
      </c>
      <c r="B3" s="288" t="s">
        <v>53</v>
      </c>
      <c r="C3" s="289"/>
      <c r="D3" s="289"/>
      <c r="E3" s="289"/>
      <c r="F3" s="289"/>
      <c r="G3" s="289"/>
      <c r="H3" s="140"/>
      <c r="I3" s="288" t="s">
        <v>31</v>
      </c>
      <c r="J3" s="289"/>
      <c r="K3" s="289"/>
      <c r="L3" s="289"/>
      <c r="M3" s="289"/>
      <c r="N3" s="289"/>
      <c r="O3" s="140"/>
      <c r="P3" s="290" t="s">
        <v>32</v>
      </c>
      <c r="Q3" s="291"/>
      <c r="R3" s="291"/>
      <c r="S3" s="291"/>
      <c r="T3" s="291"/>
      <c r="U3" s="291"/>
      <c r="V3" s="296"/>
    </row>
    <row r="4" spans="1:22" ht="74.25" customHeight="1">
      <c r="A4" s="295"/>
      <c r="B4" s="63" t="s">
        <v>39</v>
      </c>
      <c r="C4" s="8" t="s">
        <v>46</v>
      </c>
      <c r="D4" s="63" t="s">
        <v>33</v>
      </c>
      <c r="E4" s="10" t="s">
        <v>54</v>
      </c>
      <c r="F4" s="9" t="s">
        <v>55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квартала</v>
      </c>
      <c r="L4" s="10" t="str">
        <f>E4</f>
        <v>Факт на 01/04.2015</v>
      </c>
      <c r="M4" s="9" t="str">
        <f>F4</f>
        <v>% исп-я к плану 1 квартала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квартала</v>
      </c>
      <c r="S4" s="145" t="str">
        <f>L4</f>
        <v>Факт на 01/04.2015</v>
      </c>
      <c r="T4" s="146" t="str">
        <f>M4</f>
        <v>% исп-я к плану 1 квартала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262515324.38</v>
      </c>
      <c r="D5" s="51">
        <f>D6+D8+D12+D19+D20+D21+D27+D28+D29+D32+D33+D7</f>
        <v>63811049.589999989</v>
      </c>
      <c r="E5" s="33">
        <f>E6+E8+E12+E19+E20+E21+E27+E28+E29+E32+E33+E7</f>
        <v>67646823.51000002</v>
      </c>
      <c r="F5" s="162">
        <f>E5/D5*100</f>
        <v>106.01114375119313</v>
      </c>
      <c r="G5" s="162">
        <f>E5/C5*100</f>
        <v>25.768714138790198</v>
      </c>
      <c r="H5" s="51">
        <f>E5-D5</f>
        <v>3835773.9200000316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45512598</v>
      </c>
      <c r="L5" s="139">
        <f>L6+L8+L12+L19+L20+L21+L27+L28+L29+L32+L33+L7</f>
        <v>47145459.690000005</v>
      </c>
      <c r="M5" s="156">
        <f>L5/K5*100</f>
        <v>103.5877136479882</v>
      </c>
      <c r="N5" s="21">
        <f>L5/J5*100</f>
        <v>31.964368839333936</v>
      </c>
      <c r="O5" s="157">
        <f>L5-K5</f>
        <v>1632861.6900000051</v>
      </c>
      <c r="P5" s="102">
        <f>P6+P8+P12+P19+P20+P21+P27+P28+P29+P32+P33+P7</f>
        <v>123754900</v>
      </c>
      <c r="Q5" s="115">
        <f>Q6+Q8+Q12+Q19+Q20+Q21+Q27+Q28+Q29+Q32+Q33+Q7</f>
        <v>115021532.38000001</v>
      </c>
      <c r="R5" s="123">
        <f>R6+R8+R12+R19+R20+R21+R27+R28+R29+R32+R33+R7</f>
        <v>18298451.589999996</v>
      </c>
      <c r="S5" s="65">
        <f>S6+S8+S12+S19+S20+S21+S27+S28+S29+S32+S33+S7</f>
        <v>20501363.82</v>
      </c>
      <c r="T5" s="21">
        <f>S5/R5*100</f>
        <v>112.0387903816074</v>
      </c>
      <c r="U5" s="148">
        <f>S5/Q5*100</f>
        <v>17.823935567358852</v>
      </c>
      <c r="V5" s="150">
        <f>S5-R5</f>
        <v>2202912.2300000042</v>
      </c>
    </row>
    <row r="6" spans="1:22" ht="16.5">
      <c r="A6" s="14" t="s">
        <v>28</v>
      </c>
      <c r="B6" s="97">
        <f>I6+P6</f>
        <v>81162643</v>
      </c>
      <c r="C6" s="50">
        <f t="shared" ref="C6:C37" si="0">Q6+J6</f>
        <v>81162643</v>
      </c>
      <c r="D6" s="47">
        <f>K6+R6</f>
        <v>19737158.379999999</v>
      </c>
      <c r="E6" s="34">
        <f>L6+S6</f>
        <v>20223684.830000002</v>
      </c>
      <c r="F6" s="162">
        <f t="shared" ref="F6:F37" si="1">E6/D6*100</f>
        <v>102.46502784561433</v>
      </c>
      <c r="G6" s="162">
        <f t="shared" ref="G6:G37" si="2">E6/C6*100</f>
        <v>24.917479375332814</v>
      </c>
      <c r="H6" s="51">
        <f t="shared" ref="H6:H37" si="3">E6-D6</f>
        <v>486526.45000000298</v>
      </c>
      <c r="I6" s="30">
        <v>59025769</v>
      </c>
      <c r="J6" s="116">
        <v>59025769</v>
      </c>
      <c r="K6" s="76">
        <v>14759602</v>
      </c>
      <c r="L6" s="81">
        <v>14759698.960000001</v>
      </c>
      <c r="M6" s="156">
        <f t="shared" ref="M6:M37" si="4">L6/K6*100</f>
        <v>100.00065692828304</v>
      </c>
      <c r="N6" s="21">
        <f>L6/J6*100</f>
        <v>25.005517437646603</v>
      </c>
      <c r="O6" s="157">
        <f t="shared" ref="O6:O37" si="5">L6-K6</f>
        <v>96.96000000089407</v>
      </c>
      <c r="P6" s="103">
        <v>22136874</v>
      </c>
      <c r="Q6" s="41">
        <v>22136874</v>
      </c>
      <c r="R6" s="96">
        <v>4977556.38</v>
      </c>
      <c r="S6" s="81">
        <v>5463985.8700000001</v>
      </c>
      <c r="T6" s="21">
        <f t="shared" ref="T6:T37" si="6">S6/R6*100</f>
        <v>109.77245565624312</v>
      </c>
      <c r="U6" s="148">
        <f t="shared" ref="U6:U37" si="7">S6/Q6*100</f>
        <v>24.682734653501665</v>
      </c>
      <c r="V6" s="150">
        <f t="shared" ref="V6:V37" si="8">S6-R6</f>
        <v>486429.49000000022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6671124.8300000001</v>
      </c>
      <c r="E7" s="34">
        <f>L7+S7</f>
        <v>7329776.6099999994</v>
      </c>
      <c r="F7" s="162">
        <f t="shared" si="1"/>
        <v>109.87317426647523</v>
      </c>
      <c r="G7" s="162">
        <f t="shared" si="2"/>
        <v>27.349706580569798</v>
      </c>
      <c r="H7" s="51">
        <f t="shared" si="3"/>
        <v>658651.77999999933</v>
      </c>
      <c r="I7" s="30">
        <v>11319566</v>
      </c>
      <c r="J7" s="116">
        <v>11319566</v>
      </c>
      <c r="K7" s="76">
        <v>2829892</v>
      </c>
      <c r="L7" s="81">
        <v>3059882.11</v>
      </c>
      <c r="M7" s="156">
        <f t="shared" si="4"/>
        <v>108.1271691640529</v>
      </c>
      <c r="N7" s="21">
        <f t="shared" ref="N7:N12" si="9">L7/J7*100</f>
        <v>27.031797067131368</v>
      </c>
      <c r="O7" s="157">
        <f t="shared" si="5"/>
        <v>229990.10999999987</v>
      </c>
      <c r="P7" s="103">
        <v>15480636</v>
      </c>
      <c r="Q7" s="41">
        <v>15480636</v>
      </c>
      <c r="R7" s="96">
        <v>3841232.83</v>
      </c>
      <c r="S7" s="81">
        <v>4269894.5</v>
      </c>
      <c r="T7" s="21">
        <f t="shared" si="6"/>
        <v>111.15948157716855</v>
      </c>
      <c r="U7" s="148">
        <f t="shared" si="7"/>
        <v>27.582164582902152</v>
      </c>
      <c r="V7" s="150">
        <f t="shared" si="8"/>
        <v>428661.66999999993</v>
      </c>
    </row>
    <row r="8" spans="1:22" ht="16.5">
      <c r="A8" s="14" t="s">
        <v>2</v>
      </c>
      <c r="B8" s="97">
        <f>B9+B11+B10</f>
        <v>11152910</v>
      </c>
      <c r="C8" s="50">
        <f t="shared" si="0"/>
        <v>11152910</v>
      </c>
      <c r="D8" s="47">
        <f>D9+D11+D10</f>
        <v>3002495</v>
      </c>
      <c r="E8" s="34">
        <f>E9+E11+E10</f>
        <v>3935914.4299999997</v>
      </c>
      <c r="F8" s="162">
        <f t="shared" si="1"/>
        <v>131.08812604184186</v>
      </c>
      <c r="G8" s="162">
        <f t="shared" si="2"/>
        <v>35.290470648467526</v>
      </c>
      <c r="H8" s="51">
        <f t="shared" si="3"/>
        <v>933419.4299999997</v>
      </c>
      <c r="I8" s="30">
        <f>I9+I11+I10</f>
        <v>9781284</v>
      </c>
      <c r="J8" s="116">
        <f>J9+J11+J10</f>
        <v>9781284</v>
      </c>
      <c r="K8" s="103">
        <f>K9+K11+K10</f>
        <v>2154450</v>
      </c>
      <c r="L8" s="32">
        <f>L9+L10</f>
        <v>2380898.2399999998</v>
      </c>
      <c r="M8" s="156">
        <f t="shared" si="4"/>
        <v>110.5107215298568</v>
      </c>
      <c r="N8" s="21">
        <f t="shared" si="9"/>
        <v>24.341367043427013</v>
      </c>
      <c r="O8" s="157">
        <f t="shared" si="5"/>
        <v>226448.23999999976</v>
      </c>
      <c r="P8" s="103">
        <f>P9+P11</f>
        <v>1371626</v>
      </c>
      <c r="Q8" s="41">
        <f>Q9+Q10+Q11</f>
        <v>1371626</v>
      </c>
      <c r="R8" s="124">
        <f>R9+R11</f>
        <v>848045</v>
      </c>
      <c r="S8" s="32">
        <f>S9+S11</f>
        <v>1555016.19</v>
      </c>
      <c r="T8" s="21">
        <f t="shared" si="6"/>
        <v>183.36482026307564</v>
      </c>
      <c r="U8" s="148">
        <f t="shared" si="7"/>
        <v>113.37027659143234</v>
      </c>
      <c r="V8" s="150">
        <f t="shared" si="8"/>
        <v>706971.19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t="shared" ref="D9:E11" si="10">K9+R9</f>
        <v>2095397</v>
      </c>
      <c r="E9" s="35">
        <f t="shared" si="10"/>
        <v>2339924.2999999998</v>
      </c>
      <c r="F9" s="163">
        <f t="shared" si="1"/>
        <v>111.66973609296949</v>
      </c>
      <c r="G9" s="163">
        <f t="shared" si="2"/>
        <v>24.567341471475974</v>
      </c>
      <c r="H9" s="164">
        <f t="shared" si="3"/>
        <v>244527.29999999981</v>
      </c>
      <c r="I9" s="109">
        <v>9524532</v>
      </c>
      <c r="J9" s="117">
        <v>9524532</v>
      </c>
      <c r="K9" s="84">
        <v>2095397</v>
      </c>
      <c r="L9" s="91">
        <v>2339924.2999999998</v>
      </c>
      <c r="M9" s="156">
        <f t="shared" si="4"/>
        <v>111.66973609296949</v>
      </c>
      <c r="N9" s="21">
        <f t="shared" si="9"/>
        <v>24.567341471475974</v>
      </c>
      <c r="O9" s="158">
        <f t="shared" si="5"/>
        <v>244527.29999999981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59053</v>
      </c>
      <c r="E10" s="35">
        <f t="shared" si="10"/>
        <v>40973.94</v>
      </c>
      <c r="F10" s="163">
        <f t="shared" si="1"/>
        <v>69.385027009635408</v>
      </c>
      <c r="G10" s="163">
        <f t="shared" si="2"/>
        <v>15.958567021873248</v>
      </c>
      <c r="H10" s="164">
        <f t="shared" si="3"/>
        <v>-18079.059999999998</v>
      </c>
      <c r="I10" s="109">
        <v>256752</v>
      </c>
      <c r="J10" s="117">
        <v>256752</v>
      </c>
      <c r="K10" s="84">
        <v>59053</v>
      </c>
      <c r="L10" s="91">
        <v>40973.94</v>
      </c>
      <c r="M10" s="156">
        <f t="shared" si="4"/>
        <v>69.385027009635408</v>
      </c>
      <c r="N10" s="21">
        <f t="shared" si="9"/>
        <v>15.958567021873248</v>
      </c>
      <c r="O10" s="158">
        <f t="shared" si="5"/>
        <v>-18079.059999999998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1371626</v>
      </c>
      <c r="D11" s="54">
        <f t="shared" si="10"/>
        <v>848045</v>
      </c>
      <c r="E11" s="35">
        <f t="shared" si="10"/>
        <v>1555016.19</v>
      </c>
      <c r="F11" s="163">
        <f t="shared" si="1"/>
        <v>183.36482026307564</v>
      </c>
      <c r="G11" s="163">
        <f t="shared" si="2"/>
        <v>113.37027659143234</v>
      </c>
      <c r="H11" s="164">
        <f t="shared" si="3"/>
        <v>706971.19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1371626</v>
      </c>
      <c r="R11" s="126">
        <v>848045</v>
      </c>
      <c r="S11" s="91">
        <v>1555016.19</v>
      </c>
      <c r="T11" s="159">
        <f t="shared" si="6"/>
        <v>183.36482026307564</v>
      </c>
      <c r="U11" s="160">
        <f t="shared" si="7"/>
        <v>113.37027659143234</v>
      </c>
      <c r="V11" s="161">
        <f t="shared" si="8"/>
        <v>706971.19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60722421</v>
      </c>
      <c r="D12" s="47">
        <f>D13+D14+D15+D16</f>
        <v>8322978</v>
      </c>
      <c r="E12" s="34">
        <f>E13+E14+E15+E16</f>
        <v>9552615.5500000007</v>
      </c>
      <c r="F12" s="162">
        <f t="shared" si="1"/>
        <v>114.77400937500977</v>
      </c>
      <c r="G12" s="162">
        <f t="shared" si="2"/>
        <v>15.731611804476639</v>
      </c>
      <c r="H12" s="51">
        <f t="shared" si="3"/>
        <v>1229637.5500000007</v>
      </c>
      <c r="I12" s="30">
        <f>I13+I14+I15+I16</f>
        <v>16422976</v>
      </c>
      <c r="J12" s="116">
        <f>J13+J14+J15+J16</f>
        <v>16422976</v>
      </c>
      <c r="K12" s="82">
        <f>K13+K14+K15+K16</f>
        <v>1637412</v>
      </c>
      <c r="L12" s="32">
        <f>L13+L14+L15+L16</f>
        <v>2036427.04</v>
      </c>
      <c r="M12" s="156">
        <f t="shared" si="4"/>
        <v>124.36864026891217</v>
      </c>
      <c r="N12" s="21">
        <f t="shared" si="9"/>
        <v>12.399866138755851</v>
      </c>
      <c r="O12" s="157">
        <f t="shared" si="5"/>
        <v>399015.04000000004</v>
      </c>
      <c r="P12" s="103">
        <f>P13+P14+P15+P16</f>
        <v>44299445</v>
      </c>
      <c r="Q12" s="41">
        <f>Q13+Q14+Q16</f>
        <v>44299445</v>
      </c>
      <c r="R12" s="127">
        <f>R13+R14+R15+R16</f>
        <v>6685566</v>
      </c>
      <c r="S12" s="32">
        <f>S13+S14+S15+S16</f>
        <v>7516188.5099999998</v>
      </c>
      <c r="T12" s="21">
        <f t="shared" si="6"/>
        <v>112.42411652207159</v>
      </c>
      <c r="U12" s="148">
        <f t="shared" si="7"/>
        <v>16.966778048799483</v>
      </c>
      <c r="V12" s="150">
        <f t="shared" si="8"/>
        <v>830622.50999999978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t="shared" ref="D13:E15" si="11">K13+R13</f>
        <v>151194</v>
      </c>
      <c r="E13" s="35">
        <f t="shared" si="11"/>
        <v>230170.48</v>
      </c>
      <c r="F13" s="163">
        <f t="shared" si="1"/>
        <v>152.235194518301</v>
      </c>
      <c r="G13" s="163">
        <f t="shared" si="2"/>
        <v>4.7709372445941272</v>
      </c>
      <c r="H13" s="164">
        <f t="shared" si="3"/>
        <v>78976.48000000001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151194</v>
      </c>
      <c r="S13" s="91">
        <v>230170.48</v>
      </c>
      <c r="T13" s="159">
        <f t="shared" si="6"/>
        <v>152.235194518301</v>
      </c>
      <c r="U13" s="160">
        <f t="shared" si="7"/>
        <v>4.7709372445941272</v>
      </c>
      <c r="V13" s="161">
        <f t="shared" si="8"/>
        <v>78976.48000000001</v>
      </c>
    </row>
    <row r="14" spans="1:22" ht="16.5">
      <c r="A14" s="15" t="s">
        <v>5</v>
      </c>
      <c r="B14" s="98">
        <f>I14+P14</f>
        <v>23568001</v>
      </c>
      <c r="C14" s="50">
        <f t="shared" si="0"/>
        <v>23568001</v>
      </c>
      <c r="D14" s="54">
        <f t="shared" si="11"/>
        <v>4720613</v>
      </c>
      <c r="E14" s="35">
        <f t="shared" si="11"/>
        <v>5249588.67</v>
      </c>
      <c r="F14" s="163">
        <f t="shared" si="1"/>
        <v>111.20565634166579</v>
      </c>
      <c r="G14" s="163">
        <f t="shared" si="2"/>
        <v>22.274221178113493</v>
      </c>
      <c r="H14" s="164">
        <f t="shared" si="3"/>
        <v>528975.66999999993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23568001</v>
      </c>
      <c r="R14" s="126">
        <v>4720613</v>
      </c>
      <c r="S14" s="91">
        <v>5249588.67</v>
      </c>
      <c r="T14" s="159">
        <f t="shared" si="6"/>
        <v>111.20565634166579</v>
      </c>
      <c r="U14" s="160">
        <f t="shared" si="7"/>
        <v>22.274221178113493</v>
      </c>
      <c r="V14" s="161">
        <f t="shared" si="8"/>
        <v>528975.66999999993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3451171</v>
      </c>
      <c r="E16" s="34">
        <f>E17+E18</f>
        <v>4072856.4</v>
      </c>
      <c r="F16" s="162">
        <f t="shared" si="1"/>
        <v>118.01375243359426</v>
      </c>
      <c r="G16" s="162">
        <f t="shared" si="2"/>
        <v>12.597765338072628</v>
      </c>
      <c r="H16" s="51">
        <f t="shared" si="3"/>
        <v>621685.39999999991</v>
      </c>
      <c r="I16" s="30">
        <f>I17+I18</f>
        <v>16422976</v>
      </c>
      <c r="J16" s="116">
        <f>J17+J18</f>
        <v>16422976</v>
      </c>
      <c r="K16" s="82">
        <f>K17+K18</f>
        <v>1637412</v>
      </c>
      <c r="L16" s="32">
        <f>L17+L18</f>
        <v>2036427.04</v>
      </c>
      <c r="M16" s="156">
        <f t="shared" si="4"/>
        <v>124.36864026891217</v>
      </c>
      <c r="N16" s="25">
        <f>L16/J16*100</f>
        <v>12.399866138755851</v>
      </c>
      <c r="O16" s="157">
        <f t="shared" si="5"/>
        <v>399015.04000000004</v>
      </c>
      <c r="P16" s="103">
        <f>P17+P18</f>
        <v>15907015</v>
      </c>
      <c r="Q16" s="41">
        <f>Q17+Q18</f>
        <v>15907015</v>
      </c>
      <c r="R16" s="127">
        <f>R17+R18</f>
        <v>1813759</v>
      </c>
      <c r="S16" s="32">
        <f>S17+S18</f>
        <v>2036429.3599999999</v>
      </c>
      <c r="T16" s="21">
        <f t="shared" si="6"/>
        <v>112.27673356824141</v>
      </c>
      <c r="U16" s="148">
        <f t="shared" si="7"/>
        <v>12.802083609024068</v>
      </c>
      <c r="V16" s="150">
        <f t="shared" si="8"/>
        <v>222670.35999999987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t="shared" ref="D17:E20" si="12">K17+R17</f>
        <v>1968585</v>
      </c>
      <c r="E17" s="35">
        <f t="shared" si="12"/>
        <v>2281143.5699999998</v>
      </c>
      <c r="F17" s="163">
        <f t="shared" si="1"/>
        <v>115.87732152789947</v>
      </c>
      <c r="G17" s="163">
        <f t="shared" si="2"/>
        <v>52.677299452638557</v>
      </c>
      <c r="H17" s="164">
        <f t="shared" si="3"/>
        <v>312558.56999999983</v>
      </c>
      <c r="I17" s="109">
        <v>2026000</v>
      </c>
      <c r="J17" s="117">
        <v>2026000</v>
      </c>
      <c r="K17" s="132">
        <v>931960</v>
      </c>
      <c r="L17" s="91">
        <v>1140571.6599999999</v>
      </c>
      <c r="M17" s="156">
        <f t="shared" si="4"/>
        <v>122.38418601656721</v>
      </c>
      <c r="N17" s="25">
        <f t="shared" ref="N17:N37" si="13">L17/J17*100</f>
        <v>56.296725567620918</v>
      </c>
      <c r="O17" s="158">
        <f t="shared" si="5"/>
        <v>208611.65999999992</v>
      </c>
      <c r="P17" s="104">
        <v>2304411</v>
      </c>
      <c r="Q17" s="42">
        <v>2304411</v>
      </c>
      <c r="R17" s="126">
        <v>1036625</v>
      </c>
      <c r="S17" s="91">
        <v>1140571.9099999999</v>
      </c>
      <c r="T17" s="159">
        <f t="shared" si="6"/>
        <v>110.02743615097069</v>
      </c>
      <c r="U17" s="160">
        <f t="shared" si="7"/>
        <v>49.495159934577636</v>
      </c>
      <c r="V17" s="161">
        <f t="shared" si="8"/>
        <v>103946.90999999992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1482586</v>
      </c>
      <c r="E18" s="35">
        <f t="shared" si="12"/>
        <v>1791712.83</v>
      </c>
      <c r="F18" s="163">
        <f t="shared" si="1"/>
        <v>120.85051592285372</v>
      </c>
      <c r="G18" s="163">
        <f t="shared" si="2"/>
        <v>6.3990703789128274</v>
      </c>
      <c r="H18" s="164">
        <f t="shared" si="3"/>
        <v>309126.83000000007</v>
      </c>
      <c r="I18" s="109">
        <v>14396976</v>
      </c>
      <c r="J18" s="117">
        <v>14396976</v>
      </c>
      <c r="K18" s="84">
        <v>705452</v>
      </c>
      <c r="L18" s="91">
        <v>895855.38</v>
      </c>
      <c r="M18" s="156">
        <f t="shared" si="4"/>
        <v>126.99026723292302</v>
      </c>
      <c r="N18" s="25">
        <f t="shared" si="13"/>
        <v>6.2225246468425031</v>
      </c>
      <c r="O18" s="158">
        <f t="shared" si="5"/>
        <v>190403.38</v>
      </c>
      <c r="P18" s="104">
        <v>13602604</v>
      </c>
      <c r="Q18" s="42">
        <v>13602604</v>
      </c>
      <c r="R18" s="126">
        <v>777134</v>
      </c>
      <c r="S18" s="91">
        <v>895857.45</v>
      </c>
      <c r="T18" s="159">
        <f t="shared" si="6"/>
        <v>115.27708863593666</v>
      </c>
      <c r="U18" s="160">
        <f t="shared" si="7"/>
        <v>6.58592612120444</v>
      </c>
      <c r="V18" s="161">
        <f t="shared" si="8"/>
        <v>118723.44999999995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314282</v>
      </c>
      <c r="E19" s="34">
        <f t="shared" si="12"/>
        <v>417893.96</v>
      </c>
      <c r="F19" s="162">
        <f t="shared" si="1"/>
        <v>132.96783143800789</v>
      </c>
      <c r="G19" s="162">
        <f t="shared" si="2"/>
        <v>28.785551772379385</v>
      </c>
      <c r="H19" s="51">
        <f t="shared" si="3"/>
        <v>103611.96000000002</v>
      </c>
      <c r="I19" s="30">
        <v>942066</v>
      </c>
      <c r="J19" s="116">
        <v>942066</v>
      </c>
      <c r="K19" s="73">
        <v>196784</v>
      </c>
      <c r="L19" s="81">
        <v>282466.96000000002</v>
      </c>
      <c r="M19" s="156">
        <f t="shared" si="4"/>
        <v>143.54162940076429</v>
      </c>
      <c r="N19" s="25">
        <f t="shared" si="13"/>
        <v>29.98377608362896</v>
      </c>
      <c r="O19" s="157">
        <f t="shared" si="5"/>
        <v>85682.960000000021</v>
      </c>
      <c r="P19" s="103">
        <v>509683</v>
      </c>
      <c r="Q19" s="41">
        <v>509683</v>
      </c>
      <c r="R19" s="96">
        <v>117498</v>
      </c>
      <c r="S19" s="81">
        <v>135427</v>
      </c>
      <c r="T19" s="21">
        <f t="shared" si="6"/>
        <v>115.25898313162777</v>
      </c>
      <c r="U19" s="148">
        <f t="shared" si="7"/>
        <v>26.570829319400492</v>
      </c>
      <c r="V19" s="150">
        <f t="shared" si="8"/>
        <v>17929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17522979</v>
      </c>
      <c r="E21" s="36">
        <f>E22+E23+E24+E25+E26</f>
        <v>16850769.98</v>
      </c>
      <c r="F21" s="162">
        <f t="shared" si="1"/>
        <v>96.163842803212859</v>
      </c>
      <c r="G21" s="162">
        <f t="shared" si="2"/>
        <v>24.743251278231547</v>
      </c>
      <c r="H21" s="51">
        <f t="shared" si="3"/>
        <v>-672209.01999999955</v>
      </c>
      <c r="I21" s="110">
        <f>I22+I23+I24+I25+I26</f>
        <v>33090058</v>
      </c>
      <c r="J21" s="118">
        <f>J22+J23+J24+J25+J26</f>
        <v>39890848</v>
      </c>
      <c r="K21" s="86">
        <f>K22+K23+K24+K25+K26</f>
        <v>15963343</v>
      </c>
      <c r="L21" s="67">
        <f>L22+L23+L24+L25+L26</f>
        <v>16060206.01</v>
      </c>
      <c r="M21" s="156">
        <f t="shared" si="4"/>
        <v>100.60678399255094</v>
      </c>
      <c r="N21" s="25">
        <f t="shared" si="13"/>
        <v>40.260377543239997</v>
      </c>
      <c r="O21" s="157">
        <f t="shared" si="5"/>
        <v>96863.009999999776</v>
      </c>
      <c r="P21" s="105">
        <f>P22+P23+P24+P25+P26</f>
        <v>36024286</v>
      </c>
      <c r="Q21" s="133">
        <f>Q22+Q23+Q25+Q24</f>
        <v>28211641</v>
      </c>
      <c r="R21" s="135">
        <f>R22+R23+R25+R24</f>
        <v>1559636</v>
      </c>
      <c r="S21" s="134">
        <f>S22+S23+S25+S24</f>
        <v>790563.97</v>
      </c>
      <c r="T21" s="21">
        <f t="shared" si="6"/>
        <v>50.689004998602236</v>
      </c>
      <c r="U21" s="148">
        <f t="shared" si="7"/>
        <v>2.8022615557882649</v>
      </c>
      <c r="V21" s="150">
        <f t="shared" si="8"/>
        <v>-769072.03</v>
      </c>
    </row>
    <row r="22" spans="1:22" ht="16.5">
      <c r="A22" s="15" t="s">
        <v>12</v>
      </c>
      <c r="B22" s="98">
        <f t="shared" ref="B22:B28" si="14">I22+P22</f>
        <v>65254940</v>
      </c>
      <c r="C22" s="50">
        <f t="shared" si="0"/>
        <v>64324185</v>
      </c>
      <c r="D22" s="54">
        <f t="shared" ref="D22:E28" si="15">K22+R22</f>
        <v>16597217</v>
      </c>
      <c r="E22" s="35">
        <f t="shared" si="15"/>
        <v>15899318.549999999</v>
      </c>
      <c r="F22" s="163">
        <f t="shared" si="1"/>
        <v>95.795087513768124</v>
      </c>
      <c r="G22" s="163">
        <f t="shared" si="2"/>
        <v>24.717481535133324</v>
      </c>
      <c r="H22" s="164">
        <f t="shared" si="3"/>
        <v>-697898.45000000112</v>
      </c>
      <c r="I22" s="109">
        <f>32556323+121365</f>
        <v>32677688</v>
      </c>
      <c r="J22" s="117">
        <f>39438213+121365</f>
        <v>39559578</v>
      </c>
      <c r="K22" s="84">
        <f>30000+15884890</f>
        <v>15914890</v>
      </c>
      <c r="L22" s="66">
        <f>15884916.39+14344.62</f>
        <v>15899261.01</v>
      </c>
      <c r="M22" s="156">
        <f t="shared" si="4"/>
        <v>99.901796430889561</v>
      </c>
      <c r="N22" s="25">
        <f t="shared" si="13"/>
        <v>40.190673950060841</v>
      </c>
      <c r="O22" s="158">
        <f t="shared" si="5"/>
        <v>-15628.990000000224</v>
      </c>
      <c r="P22" s="104">
        <f>32556252+21000</f>
        <v>32577252</v>
      </c>
      <c r="Q22" s="42">
        <f>24743607+21000</f>
        <v>24764607</v>
      </c>
      <c r="R22" s="125">
        <f>677077+5250</f>
        <v>682327</v>
      </c>
      <c r="S22" s="66">
        <v>57.54</v>
      </c>
      <c r="T22" s="159">
        <f t="shared" si="6"/>
        <v>8.4329068027500006E-3</v>
      </c>
      <c r="U22" s="160">
        <f t="shared" si="7"/>
        <v>2.323477210843685E-4</v>
      </c>
      <c r="V22" s="161">
        <f t="shared" si="8"/>
        <v>-682269.46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793809</v>
      </c>
      <c r="E23" s="37">
        <f t="shared" si="15"/>
        <v>914402.61</v>
      </c>
      <c r="F23" s="163">
        <f t="shared" si="1"/>
        <v>115.19176653325927</v>
      </c>
      <c r="G23" s="163">
        <f t="shared" si="2"/>
        <v>27.454739441935374</v>
      </c>
      <c r="H23" s="164">
        <f t="shared" si="3"/>
        <v>120593.60999999999</v>
      </c>
      <c r="I23" s="111">
        <v>412370</v>
      </c>
      <c r="J23" s="119">
        <v>331270</v>
      </c>
      <c r="K23" s="87">
        <v>48453</v>
      </c>
      <c r="L23" s="92">
        <v>160945</v>
      </c>
      <c r="M23" s="156">
        <f t="shared" si="4"/>
        <v>332.1672548655398</v>
      </c>
      <c r="N23" s="25">
        <f t="shared" si="13"/>
        <v>48.584236423461228</v>
      </c>
      <c r="O23" s="158">
        <f t="shared" si="5"/>
        <v>112492</v>
      </c>
      <c r="P23" s="106">
        <v>2999312</v>
      </c>
      <c r="Q23" s="42">
        <v>2999312</v>
      </c>
      <c r="R23" s="128">
        <v>745356</v>
      </c>
      <c r="S23" s="92">
        <v>753457.61</v>
      </c>
      <c r="T23" s="159">
        <f t="shared" si="6"/>
        <v>101.08694503029425</v>
      </c>
      <c r="U23" s="160">
        <f t="shared" si="7"/>
        <v>25.121014752716626</v>
      </c>
      <c r="V23" s="161">
        <f t="shared" si="8"/>
        <v>8101.609999999986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131953</v>
      </c>
      <c r="E25" s="37">
        <f t="shared" si="15"/>
        <v>28648.82</v>
      </c>
      <c r="F25" s="163">
        <f t="shared" si="1"/>
        <v>21.711382083014406</v>
      </c>
      <c r="G25" s="163">
        <f t="shared" si="2"/>
        <v>6.3987965746601692</v>
      </c>
      <c r="H25" s="164">
        <f t="shared" si="3"/>
        <v>-103304.18</v>
      </c>
      <c r="I25" s="111">
        <v>0</v>
      </c>
      <c r="J25" s="119">
        <v>0</v>
      </c>
      <c r="K25" s="87">
        <v>0</v>
      </c>
      <c r="L25" s="68">
        <v>0</v>
      </c>
      <c r="M25" s="156"/>
      <c r="N25" s="25"/>
      <c r="O25" s="158">
        <f t="shared" si="5"/>
        <v>0</v>
      </c>
      <c r="P25" s="106">
        <v>447722</v>
      </c>
      <c r="Q25" s="42">
        <v>447722</v>
      </c>
      <c r="R25" s="128">
        <v>131953</v>
      </c>
      <c r="S25" s="92">
        <v>28648.82</v>
      </c>
      <c r="T25" s="159">
        <f t="shared" si="6"/>
        <v>21.711382083014406</v>
      </c>
      <c r="U25" s="160">
        <f t="shared" si="7"/>
        <v>6.3987965746601692</v>
      </c>
      <c r="V25" s="161">
        <f t="shared" si="8"/>
        <v>-103304.18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2446725</v>
      </c>
      <c r="E27" s="38">
        <f t="shared" si="15"/>
        <v>2446739.9900000002</v>
      </c>
      <c r="F27" s="162">
        <f t="shared" si="1"/>
        <v>100.00061265569282</v>
      </c>
      <c r="G27" s="162">
        <f t="shared" si="2"/>
        <v>60.114984644111949</v>
      </c>
      <c r="H27" s="51">
        <f t="shared" si="3"/>
        <v>14.990000000223517</v>
      </c>
      <c r="I27" s="112">
        <v>4070100</v>
      </c>
      <c r="J27" s="138">
        <v>4070100</v>
      </c>
      <c r="K27" s="93">
        <v>2446725</v>
      </c>
      <c r="L27" s="81">
        <v>2446739.9900000002</v>
      </c>
      <c r="M27" s="156">
        <f t="shared" si="4"/>
        <v>100.00061265569282</v>
      </c>
      <c r="N27" s="25">
        <f t="shared" si="13"/>
        <v>60.114984644111949</v>
      </c>
      <c r="O27" s="157">
        <f t="shared" si="5"/>
        <v>14.990000000223517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25751.67</v>
      </c>
      <c r="F28" s="162">
        <f t="shared" si="1"/>
        <v>89.189419461289262</v>
      </c>
      <c r="G28" s="162">
        <f t="shared" si="2"/>
        <v>89.189419461289262</v>
      </c>
      <c r="H28" s="51">
        <f t="shared" si="3"/>
        <v>-3121.3400000000038</v>
      </c>
      <c r="I28" s="103">
        <v>21260</v>
      </c>
      <c r="J28" s="120">
        <v>21260</v>
      </c>
      <c r="K28" s="76">
        <v>21260</v>
      </c>
      <c r="L28" s="81">
        <v>16064.52</v>
      </c>
      <c r="M28" s="156">
        <f t="shared" si="4"/>
        <v>75.562182502351831</v>
      </c>
      <c r="N28" s="25">
        <f t="shared" si="13"/>
        <v>75.562182502351831</v>
      </c>
      <c r="O28" s="157">
        <f t="shared" si="5"/>
        <v>-5195.4799999999996</v>
      </c>
      <c r="P28" s="103">
        <v>0</v>
      </c>
      <c r="Q28" s="41">
        <v>7613.01</v>
      </c>
      <c r="R28" s="96">
        <v>7613.01</v>
      </c>
      <c r="S28" s="81">
        <v>9687.15</v>
      </c>
      <c r="T28" s="21">
        <f t="shared" si="6"/>
        <v>127.24467720389174</v>
      </c>
      <c r="U28" s="148">
        <f t="shared" si="7"/>
        <v>127.24467720389174</v>
      </c>
      <c r="V28" s="150">
        <f t="shared" si="8"/>
        <v>2074.1399999999994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8416340</v>
      </c>
      <c r="D29" s="60">
        <f>D30+D31</f>
        <v>5668130</v>
      </c>
      <c r="E29" s="38">
        <f>E30+E31</f>
        <v>5811450.7799999993</v>
      </c>
      <c r="F29" s="162">
        <f t="shared" si="1"/>
        <v>102.5285372777265</v>
      </c>
      <c r="G29" s="162">
        <f t="shared" si="2"/>
        <v>69.049619906039908</v>
      </c>
      <c r="H29" s="51">
        <f t="shared" si="3"/>
        <v>143320.77999999933</v>
      </c>
      <c r="I29" s="113">
        <f>I30+I31</f>
        <v>3337900</v>
      </c>
      <c r="J29" s="121">
        <f>J30+J31</f>
        <v>5462340</v>
      </c>
      <c r="K29" s="88">
        <f>K30+K31</f>
        <v>5456840</v>
      </c>
      <c r="L29" s="69">
        <f>L30+L31</f>
        <v>5637630.2599999998</v>
      </c>
      <c r="M29" s="156">
        <f t="shared" si="4"/>
        <v>103.31309439162592</v>
      </c>
      <c r="N29" s="25">
        <f t="shared" si="13"/>
        <v>103.20906900705558</v>
      </c>
      <c r="O29" s="157">
        <f t="shared" si="5"/>
        <v>180790.25999999978</v>
      </c>
      <c r="P29" s="107">
        <f>P30+P31</f>
        <v>3932350</v>
      </c>
      <c r="Q29" s="41">
        <f>Q30+Q31</f>
        <v>2954000</v>
      </c>
      <c r="R29" s="130">
        <f>R30+R31</f>
        <v>211290</v>
      </c>
      <c r="S29" s="69">
        <f>S30+S31</f>
        <v>173820.52</v>
      </c>
      <c r="T29" s="21">
        <f t="shared" si="6"/>
        <v>82.266325902787628</v>
      </c>
      <c r="U29" s="148">
        <f t="shared" si="7"/>
        <v>5.884242383209207</v>
      </c>
      <c r="V29" s="150">
        <f t="shared" si="8"/>
        <v>-37469.48000000001</v>
      </c>
    </row>
    <row r="30" spans="1:22" ht="16.5">
      <c r="A30" s="15" t="s">
        <v>14</v>
      </c>
      <c r="B30" s="98">
        <f>I30+P30</f>
        <v>650000</v>
      </c>
      <c r="C30" s="50">
        <f t="shared" si="0"/>
        <v>731100</v>
      </c>
      <c r="D30" s="54">
        <f t="shared" ref="D30:E32" si="16">K30+R30</f>
        <v>676100</v>
      </c>
      <c r="E30" s="35">
        <f t="shared" si="16"/>
        <v>1004064.31</v>
      </c>
      <c r="F30" s="163">
        <f t="shared" si="1"/>
        <v>148.5082546960509</v>
      </c>
      <c r="G30" s="163">
        <f t="shared" si="2"/>
        <v>137.33611133907812</v>
      </c>
      <c r="H30" s="164">
        <f t="shared" si="3"/>
        <v>327964.31000000006</v>
      </c>
      <c r="I30" s="109">
        <v>570000</v>
      </c>
      <c r="J30" s="117">
        <v>651100</v>
      </c>
      <c r="K30" s="84">
        <v>651100</v>
      </c>
      <c r="L30" s="91">
        <v>831848.31</v>
      </c>
      <c r="M30" s="156">
        <f t="shared" si="4"/>
        <v>127.76045307940409</v>
      </c>
      <c r="N30" s="25">
        <f t="shared" si="13"/>
        <v>127.76045307940409</v>
      </c>
      <c r="O30" s="158">
        <f t="shared" si="5"/>
        <v>180748.31000000006</v>
      </c>
      <c r="P30" s="104">
        <v>80000</v>
      </c>
      <c r="Q30" s="42">
        <v>80000</v>
      </c>
      <c r="R30" s="126">
        <v>25000</v>
      </c>
      <c r="S30" s="91">
        <v>172216</v>
      </c>
      <c r="T30" s="159">
        <f t="shared" si="6"/>
        <v>688.86399999999992</v>
      </c>
      <c r="U30" s="160">
        <f t="shared" si="7"/>
        <v>215.26999999999998</v>
      </c>
      <c r="V30" s="161">
        <f t="shared" si="8"/>
        <v>147216</v>
      </c>
    </row>
    <row r="31" spans="1:22" ht="16.5">
      <c r="A31" s="15" t="s">
        <v>15</v>
      </c>
      <c r="B31" s="98">
        <f>I31+P31</f>
        <v>6620250</v>
      </c>
      <c r="C31" s="50">
        <f t="shared" si="0"/>
        <v>7685240</v>
      </c>
      <c r="D31" s="54">
        <f t="shared" si="16"/>
        <v>4992030</v>
      </c>
      <c r="E31" s="35">
        <f t="shared" si="16"/>
        <v>4807386.47</v>
      </c>
      <c r="F31" s="163">
        <f t="shared" si="1"/>
        <v>96.301233566304688</v>
      </c>
      <c r="G31" s="163">
        <f t="shared" si="2"/>
        <v>62.553498264205146</v>
      </c>
      <c r="H31" s="164">
        <f t="shared" si="3"/>
        <v>-184643.53000000026</v>
      </c>
      <c r="I31" s="109">
        <v>2767900</v>
      </c>
      <c r="J31" s="117">
        <v>4811240</v>
      </c>
      <c r="K31" s="84">
        <v>4805740</v>
      </c>
      <c r="L31" s="91">
        <v>4805781.95</v>
      </c>
      <c r="M31" s="156">
        <f t="shared" si="4"/>
        <v>100.00087291447311</v>
      </c>
      <c r="N31" s="25">
        <f t="shared" si="13"/>
        <v>99.886556272395481</v>
      </c>
      <c r="O31" s="158">
        <f t="shared" si="5"/>
        <v>41.950000000186265</v>
      </c>
      <c r="P31" s="104">
        <v>3852350</v>
      </c>
      <c r="Q31" s="42">
        <v>2874000</v>
      </c>
      <c r="R31" s="136">
        <v>186290</v>
      </c>
      <c r="S31" s="91">
        <v>1604.52</v>
      </c>
      <c r="T31" s="159">
        <f t="shared" si="6"/>
        <v>0.86130227065328246</v>
      </c>
      <c r="U31" s="160">
        <f t="shared" si="7"/>
        <v>5.5828810020876828E-2</v>
      </c>
      <c r="V31" s="161">
        <f t="shared" si="8"/>
        <v>-184685.48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46290</v>
      </c>
      <c r="E32" s="34">
        <f t="shared" si="16"/>
        <v>496072.86000000004</v>
      </c>
      <c r="F32" s="162">
        <f t="shared" si="1"/>
        <v>1071.6631237848349</v>
      </c>
      <c r="G32" s="162">
        <f t="shared" si="2"/>
        <v>88.968433399153142</v>
      </c>
      <c r="H32" s="51">
        <f t="shared" si="3"/>
        <v>449782.86000000004</v>
      </c>
      <c r="I32" s="30">
        <v>557583</v>
      </c>
      <c r="J32" s="116">
        <v>557583</v>
      </c>
      <c r="K32" s="82">
        <v>46290</v>
      </c>
      <c r="L32" s="81">
        <v>465653.78</v>
      </c>
      <c r="M32" s="156">
        <f t="shared" si="4"/>
        <v>1005.9489738604451</v>
      </c>
      <c r="N32" s="25">
        <f t="shared" si="13"/>
        <v>83.512908392113829</v>
      </c>
      <c r="O32" s="157">
        <f t="shared" si="5"/>
        <v>419363.78</v>
      </c>
      <c r="P32" s="103">
        <v>0</v>
      </c>
      <c r="Q32" s="41">
        <v>0</v>
      </c>
      <c r="R32" s="96">
        <v>0</v>
      </c>
      <c r="S32" s="81">
        <v>30419.08</v>
      </c>
      <c r="T32" s="21"/>
      <c r="U32" s="148"/>
      <c r="V32" s="150">
        <f t="shared" si="8"/>
        <v>30419.08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50014.37</v>
      </c>
      <c r="D33" s="47">
        <f>D34+D35+D36</f>
        <v>50014.37</v>
      </c>
      <c r="E33" s="34">
        <f>E34+E35+E36</f>
        <v>556015.75</v>
      </c>
      <c r="F33" s="162">
        <f t="shared" si="1"/>
        <v>1111.7119939729321</v>
      </c>
      <c r="G33" s="162">
        <f t="shared" si="2"/>
        <v>1111.7119939729321</v>
      </c>
      <c r="H33" s="51">
        <f t="shared" si="3"/>
        <v>506001.38</v>
      </c>
      <c r="I33" s="30">
        <v>0</v>
      </c>
      <c r="J33" s="116">
        <v>0</v>
      </c>
      <c r="K33" s="82">
        <f>K34+K35+K36</f>
        <v>0</v>
      </c>
      <c r="L33" s="32">
        <f>L34+L35+L36</f>
        <v>-345.28</v>
      </c>
      <c r="M33" s="156"/>
      <c r="N33" s="25"/>
      <c r="O33" s="157">
        <f t="shared" si="5"/>
        <v>-345.28</v>
      </c>
      <c r="P33" s="103">
        <v>0</v>
      </c>
      <c r="Q33" s="41">
        <f>Q34+Q35+Q36</f>
        <v>50014.37</v>
      </c>
      <c r="R33" s="124">
        <f>R34+R35+R36</f>
        <v>50014.37</v>
      </c>
      <c r="S33" s="32">
        <f>S34+S35+S36</f>
        <v>556361.03</v>
      </c>
      <c r="T33" s="21">
        <f t="shared" si="6"/>
        <v>1112.4023555630113</v>
      </c>
      <c r="U33" s="148">
        <f t="shared" si="7"/>
        <v>1112.4023555630113</v>
      </c>
      <c r="V33" s="150">
        <f t="shared" si="8"/>
        <v>506346.66000000003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t="shared" ref="D34:E36" si="17">K34++R34</f>
        <v>0</v>
      </c>
      <c r="E34" s="35">
        <f t="shared" si="17"/>
        <v>-1545.28</v>
      </c>
      <c r="F34" s="163"/>
      <c r="G34" s="163"/>
      <c r="H34" s="164">
        <f t="shared" si="3"/>
        <v>-1545.28</v>
      </c>
      <c r="I34" s="109"/>
      <c r="J34" s="117"/>
      <c r="K34" s="84"/>
      <c r="L34" s="66">
        <v>-1545.28</v>
      </c>
      <c r="M34" s="156"/>
      <c r="N34" s="25"/>
      <c r="O34" s="158">
        <f t="shared" si="5"/>
        <v>-1545.28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50014.37</v>
      </c>
      <c r="D35" s="54">
        <f t="shared" si="17"/>
        <v>50014.37</v>
      </c>
      <c r="E35" s="35">
        <f t="shared" si="17"/>
        <v>557561.03</v>
      </c>
      <c r="F35" s="163">
        <f t="shared" si="1"/>
        <v>1114.8016660011913</v>
      </c>
      <c r="G35" s="163">
        <f t="shared" si="2"/>
        <v>1114.8016660011913</v>
      </c>
      <c r="H35" s="164">
        <f t="shared" si="3"/>
        <v>507546.66000000003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50014.37</v>
      </c>
      <c r="R35" s="126">
        <v>50014.37</v>
      </c>
      <c r="S35" s="91">
        <v>556361.03</v>
      </c>
      <c r="T35" s="159">
        <f t="shared" si="6"/>
        <v>1112.4023555630113</v>
      </c>
      <c r="U35" s="160">
        <f t="shared" si="7"/>
        <v>1112.4023555630113</v>
      </c>
      <c r="V35" s="161">
        <f t="shared" si="8"/>
        <v>506346.66000000003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262515324.38</v>
      </c>
      <c r="D37" s="62">
        <f>K37+R37</f>
        <v>63811049.589999996</v>
      </c>
      <c r="E37" s="39">
        <f>L37+S37</f>
        <v>67646823.510000005</v>
      </c>
      <c r="F37" s="162">
        <f t="shared" si="1"/>
        <v>106.01114375119309</v>
      </c>
      <c r="G37" s="162">
        <f t="shared" si="2"/>
        <v>25.768714138790195</v>
      </c>
      <c r="H37" s="51">
        <f t="shared" si="3"/>
        <v>3835773.9200000092</v>
      </c>
      <c r="I37" s="108">
        <f t="shared" ref="I37:S37" si="18">I5</f>
        <v>138568562</v>
      </c>
      <c r="J37" s="122">
        <f t="shared" si="18"/>
        <v>147493792</v>
      </c>
      <c r="K37" s="80">
        <f t="shared" si="18"/>
        <v>45512598</v>
      </c>
      <c r="L37" s="70">
        <f t="shared" si="18"/>
        <v>47145459.690000005</v>
      </c>
      <c r="M37" s="156">
        <f t="shared" si="4"/>
        <v>103.5877136479882</v>
      </c>
      <c r="N37" s="25">
        <f t="shared" si="13"/>
        <v>31.964368839333936</v>
      </c>
      <c r="O37" s="157">
        <f t="shared" si="5"/>
        <v>1632861.6900000051</v>
      </c>
      <c r="P37" s="108">
        <f t="shared" si="18"/>
        <v>123754900</v>
      </c>
      <c r="Q37" s="122">
        <f t="shared" si="18"/>
        <v>115021532.38000001</v>
      </c>
      <c r="R37" s="131">
        <f t="shared" si="18"/>
        <v>18298451.589999996</v>
      </c>
      <c r="S37" s="70">
        <f t="shared" si="18"/>
        <v>20501363.82</v>
      </c>
      <c r="T37" s="21">
        <f t="shared" si="6"/>
        <v>112.0387903816074</v>
      </c>
      <c r="U37" s="155">
        <f t="shared" si="7"/>
        <v>17.823935567358852</v>
      </c>
      <c r="V37" s="150">
        <f t="shared" si="8"/>
        <v>2202912.2300000042</v>
      </c>
    </row>
    <row r="38" spans="1:22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spans="1:22" hidden="1"/>
  </sheetData>
  <mergeCells count="5">
    <mergeCell ref="A2:G2"/>
    <mergeCell ref="A3:A4"/>
    <mergeCell ref="B3:G3"/>
    <mergeCell ref="I3:N3"/>
    <mergeCell ref="P3:V3"/>
  </mergeCells>
  <pageMargins left="0.70866141732283472" right="0" top="0.74803149606299213" bottom="0" header="0.31496062992125984" footer="0.31496062992125984"/>
  <pageSetup paperSize="9" scale="78" fitToWidth="3" orientation="landscape" verticalDpi="0" r:id="rId1"/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topLeftCell="A2" zoomScale="60" zoomScaleNormal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sqref="A1:IV65536"/>
    </sheetView>
  </sheetViews>
  <sheetFormatPr defaultRowHeight="12.75"/>
  <cols>
    <col min="1" max="1" width="54.28515625" customWidth="1"/>
    <col min="2" max="3" width="13.5703125" style="1" customWidth="1"/>
    <col min="4" max="4" width="14.7109375" customWidth="1"/>
    <col min="5" max="5" width="15.140625" customWidth="1"/>
    <col min="6" max="6" width="9.28515625" customWidth="1"/>
    <col min="7" max="7" width="8.85546875" customWidth="1"/>
    <col min="8" max="8" width="11.5703125" customWidth="1"/>
    <col min="9" max="9" width="13" customWidth="1"/>
    <col min="10" max="10" width="13.5703125" customWidth="1"/>
    <col min="11" max="11" width="14.42578125" customWidth="1"/>
    <col min="12" max="12" width="14.28515625" customWidth="1"/>
    <col min="13" max="13" width="8.42578125" customWidth="1"/>
    <col min="14" max="14" width="7.85546875" customWidth="1"/>
    <col min="15" max="15" width="12.140625" customWidth="1"/>
    <col min="16" max="17" width="13.7109375" customWidth="1"/>
    <col min="18" max="18" width="13.42578125" customWidth="1"/>
    <col min="19" max="19" width="13.7109375" customWidth="1"/>
    <col min="20" max="20" width="8.28515625" customWidth="1"/>
    <col min="21" max="21" width="7.85546875" customWidth="1"/>
    <col min="22" max="22" width="14.140625" customWidth="1"/>
  </cols>
  <sheetData>
    <row r="1" spans="1:22" ht="12.75" hidden="1" customHeight="1">
      <c r="A1" s="297" t="s">
        <v>56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22" ht="20.25" customHeight="1" thickBo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137"/>
      <c r="Q2" s="137"/>
      <c r="R2" s="137"/>
      <c r="S2" s="137"/>
      <c r="T2" s="137"/>
      <c r="U2" s="137"/>
    </row>
    <row r="3" spans="1:22" ht="13.5" thickBot="1">
      <c r="A3" s="294" t="s">
        <v>0</v>
      </c>
      <c r="B3" s="288" t="s">
        <v>53</v>
      </c>
      <c r="C3" s="289"/>
      <c r="D3" s="289"/>
      <c r="E3" s="289"/>
      <c r="F3" s="289"/>
      <c r="G3" s="289"/>
      <c r="H3" s="140"/>
      <c r="I3" s="288" t="s">
        <v>31</v>
      </c>
      <c r="J3" s="289"/>
      <c r="K3" s="289"/>
      <c r="L3" s="289"/>
      <c r="M3" s="289"/>
      <c r="N3" s="289"/>
      <c r="O3" s="140"/>
      <c r="P3" s="290" t="s">
        <v>32</v>
      </c>
      <c r="Q3" s="291"/>
      <c r="R3" s="291"/>
      <c r="S3" s="291"/>
      <c r="T3" s="291"/>
      <c r="U3" s="291"/>
      <c r="V3" s="296"/>
    </row>
    <row r="4" spans="1:22" ht="74.25" customHeight="1">
      <c r="A4" s="295"/>
      <c r="B4" s="63" t="s">
        <v>39</v>
      </c>
      <c r="C4" s="8" t="s">
        <v>46</v>
      </c>
      <c r="D4" s="63" t="s">
        <v>57</v>
      </c>
      <c r="E4" s="10" t="s">
        <v>58</v>
      </c>
      <c r="F4" s="9" t="s">
        <v>59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полугодия</v>
      </c>
      <c r="L4" s="10" t="str">
        <f>E4</f>
        <v>Факт на 01/05.2015</v>
      </c>
      <c r="M4" s="9" t="str">
        <f>F4</f>
        <v>% исп-я к плану 1 полугодия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полугодия</v>
      </c>
      <c r="S4" s="145" t="str">
        <f>L4</f>
        <v>Факт на 01/05.2015</v>
      </c>
      <c r="T4" s="146" t="str">
        <f>M4</f>
        <v>% исп-я к плану 1 полугодия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269685830.61000001</v>
      </c>
      <c r="D5" s="51">
        <f>D6+D8+D12+D19+D20+D21+D27+D28+D29+D32+D33+D7</f>
        <v>122479506.72</v>
      </c>
      <c r="E5" s="33">
        <f>E6+E8+E12+E19+E20+E21+E27+E28+E29+E32+E33+E7</f>
        <v>93293333.930000007</v>
      </c>
      <c r="F5" s="162">
        <f>E5/D5*100</f>
        <v>76.170566348930194</v>
      </c>
      <c r="G5" s="162">
        <f>E5/C5*100</f>
        <v>34.593339115733528</v>
      </c>
      <c r="H5" s="166">
        <f>E5-D5</f>
        <v>-29186172.789999992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73156304</v>
      </c>
      <c r="L5" s="139">
        <f>L6+L8+L12+L19+L20+L21+L27+L28+L29+L32+L33+L7</f>
        <v>60217577.730000012</v>
      </c>
      <c r="M5" s="156">
        <f>L5/K5*100</f>
        <v>82.31358671427688</v>
      </c>
      <c r="N5" s="21">
        <f>L5/J5*100</f>
        <v>40.827194767627923</v>
      </c>
      <c r="O5" s="165">
        <f>L5-K5</f>
        <v>-12938726.269999988</v>
      </c>
      <c r="P5" s="102">
        <f>P6+P8+P12+P19+P20+P21+P27+P28+P29+P32+P33+P7</f>
        <v>123754900</v>
      </c>
      <c r="Q5" s="115">
        <f>Q6+Q8+Q12+Q19+Q20+Q21+Q27+Q28+Q29+Q32+Q33+Q7</f>
        <v>122192038.61</v>
      </c>
      <c r="R5" s="123">
        <f>R6+R8+R12+R19+R20+R21+R27+R28+R29+R32+R33+R7</f>
        <v>49323202.719999999</v>
      </c>
      <c r="S5" s="65">
        <f>S6+S8+S12+S19+S20+S21+S27+S28+S29+S32+S33+S7</f>
        <v>33075756.199999996</v>
      </c>
      <c r="T5" s="21">
        <f>S5/R5*100</f>
        <v>67.059222386197874</v>
      </c>
      <c r="U5" s="148">
        <f>S5/Q5*100</f>
        <v>27.068667137609349</v>
      </c>
      <c r="V5" s="150">
        <f>S5-R5</f>
        <v>-16247446.520000003</v>
      </c>
    </row>
    <row r="6" spans="1:22" ht="16.5">
      <c r="A6" s="14" t="s">
        <v>28</v>
      </c>
      <c r="B6" s="97">
        <f>I6+P6</f>
        <v>81162643</v>
      </c>
      <c r="C6" s="50">
        <f t="shared" ref="C6:C37" si="0">Q6+J6</f>
        <v>81162643</v>
      </c>
      <c r="D6" s="47">
        <f>K6+R6</f>
        <v>38041458.600000001</v>
      </c>
      <c r="E6" s="34">
        <f>L6+S6</f>
        <v>27965433.25</v>
      </c>
      <c r="F6" s="162">
        <f t="shared" ref="F6:F37" si="1">E6/D6*100</f>
        <v>73.513041505721873</v>
      </c>
      <c r="G6" s="162">
        <f t="shared" ref="G6:G37" si="2">E6/C6*100</f>
        <v>34.456040631895149</v>
      </c>
      <c r="H6" s="166">
        <f t="shared" ref="H6:H37" si="3">E6-D6</f>
        <v>-10076025.350000001</v>
      </c>
      <c r="I6" s="30">
        <v>59025769</v>
      </c>
      <c r="J6" s="116">
        <v>59025769</v>
      </c>
      <c r="K6" s="76">
        <v>27712514</v>
      </c>
      <c r="L6" s="81">
        <v>20411866.82</v>
      </c>
      <c r="M6" s="156">
        <f t="shared" ref="M6:M37" si="4">L6/K6*100</f>
        <v>73.655774499563634</v>
      </c>
      <c r="N6" s="21">
        <f>L6/J6*100</f>
        <v>34.581280626771672</v>
      </c>
      <c r="O6" s="157">
        <f t="shared" ref="O6:O37" si="5">L6-K6</f>
        <v>-7300647.1799999997</v>
      </c>
      <c r="P6" s="103">
        <v>22136874</v>
      </c>
      <c r="Q6" s="41">
        <v>22136874</v>
      </c>
      <c r="R6" s="96">
        <v>10328944.6</v>
      </c>
      <c r="S6" s="81">
        <v>7553566.4299999997</v>
      </c>
      <c r="T6" s="21">
        <f t="shared" ref="T6:T37" si="6">S6/R6*100</f>
        <v>73.130089496268567</v>
      </c>
      <c r="U6" s="148">
        <f t="shared" ref="U6:U37" si="7">S6/Q6*100</f>
        <v>34.122100663354729</v>
      </c>
      <c r="V6" s="150">
        <f t="shared" ref="V6:V37" si="8">S6-R6</f>
        <v>-2775378.17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12635947.51</v>
      </c>
      <c r="E7" s="34">
        <f>L7+S7</f>
        <v>9071472.8599999994</v>
      </c>
      <c r="F7" s="162">
        <f t="shared" si="1"/>
        <v>71.79099828343621</v>
      </c>
      <c r="G7" s="162">
        <f t="shared" si="2"/>
        <v>33.848524201422066</v>
      </c>
      <c r="H7" s="51">
        <f t="shared" si="3"/>
        <v>-3564474.6500000004</v>
      </c>
      <c r="I7" s="30">
        <v>11319566</v>
      </c>
      <c r="J7" s="116">
        <v>11319566</v>
      </c>
      <c r="K7" s="76">
        <v>5659784</v>
      </c>
      <c r="L7" s="81">
        <v>3786969.07</v>
      </c>
      <c r="M7" s="156">
        <f t="shared" si="4"/>
        <v>66.910134203001377</v>
      </c>
      <c r="N7" s="21">
        <f t="shared" ref="N7:N12" si="9">L7/J7*100</f>
        <v>33.455073012516557</v>
      </c>
      <c r="O7" s="157">
        <f t="shared" si="5"/>
        <v>-1872814.9300000002</v>
      </c>
      <c r="P7" s="103">
        <v>15480636</v>
      </c>
      <c r="Q7" s="41">
        <v>15480636</v>
      </c>
      <c r="R7" s="96">
        <v>6976163.5099999998</v>
      </c>
      <c r="S7" s="81">
        <v>5284503.79</v>
      </c>
      <c r="T7" s="21">
        <f t="shared" si="6"/>
        <v>75.750859085010177</v>
      </c>
      <c r="U7" s="148">
        <f t="shared" si="7"/>
        <v>34.136218886614216</v>
      </c>
      <c r="V7" s="150">
        <f t="shared" si="8"/>
        <v>-1691659.7199999997</v>
      </c>
    </row>
    <row r="8" spans="1:22" ht="16.5">
      <c r="A8" s="14" t="s">
        <v>2</v>
      </c>
      <c r="B8" s="97">
        <f>B9+B11+B10</f>
        <v>11152910</v>
      </c>
      <c r="C8" s="50">
        <f t="shared" si="0"/>
        <v>16981918</v>
      </c>
      <c r="D8" s="47">
        <f>D9+D11+D10</f>
        <v>11750982</v>
      </c>
      <c r="E8" s="34">
        <f>E9+E11+E10</f>
        <v>12066774.539999999</v>
      </c>
      <c r="F8" s="162">
        <f t="shared" si="1"/>
        <v>102.68737148946359</v>
      </c>
      <c r="G8" s="162">
        <f t="shared" si="2"/>
        <v>71.056605855710757</v>
      </c>
      <c r="H8" s="51">
        <f t="shared" si="3"/>
        <v>315792.53999999911</v>
      </c>
      <c r="I8" s="30">
        <f>I9+I11+I10</f>
        <v>9781284</v>
      </c>
      <c r="J8" s="116">
        <f>J9+J11+J10</f>
        <v>9781284</v>
      </c>
      <c r="K8" s="103">
        <f>K9+K11+K10</f>
        <v>4602339</v>
      </c>
      <c r="L8" s="32">
        <f>L9+L10</f>
        <v>4452035.45</v>
      </c>
      <c r="M8" s="156">
        <f t="shared" si="4"/>
        <v>96.734192114053315</v>
      </c>
      <c r="N8" s="21">
        <f t="shared" si="9"/>
        <v>45.515859165320222</v>
      </c>
      <c r="O8" s="157">
        <f t="shared" si="5"/>
        <v>-150303.54999999981</v>
      </c>
      <c r="P8" s="103">
        <f>P9+P11</f>
        <v>1371626</v>
      </c>
      <c r="Q8" s="41">
        <f>Q9+Q10+Q11</f>
        <v>7200634</v>
      </c>
      <c r="R8" s="124">
        <f>R9+R11</f>
        <v>7148643</v>
      </c>
      <c r="S8" s="32">
        <f>S9+S11</f>
        <v>7614739.0899999999</v>
      </c>
      <c r="T8" s="21">
        <f t="shared" si="6"/>
        <v>106.52006387785767</v>
      </c>
      <c r="U8" s="148">
        <f t="shared" si="7"/>
        <v>105.75095317995608</v>
      </c>
      <c r="V8" s="150">
        <f t="shared" si="8"/>
        <v>466096.08999999985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t="shared" ref="D9:E11" si="10">K9+R9</f>
        <v>4476530</v>
      </c>
      <c r="E9" s="35">
        <f t="shared" si="10"/>
        <v>4411061.51</v>
      </c>
      <c r="F9" s="163">
        <f t="shared" si="1"/>
        <v>98.537517005359049</v>
      </c>
      <c r="G9" s="163">
        <f t="shared" si="2"/>
        <v>46.312632578692579</v>
      </c>
      <c r="H9" s="164">
        <f t="shared" si="3"/>
        <v>-65468.490000000224</v>
      </c>
      <c r="I9" s="109">
        <v>9524532</v>
      </c>
      <c r="J9" s="117">
        <v>9524532</v>
      </c>
      <c r="K9" s="84">
        <v>4476530</v>
      </c>
      <c r="L9" s="91">
        <v>4411061.51</v>
      </c>
      <c r="M9" s="156">
        <f t="shared" si="4"/>
        <v>98.537517005359049</v>
      </c>
      <c r="N9" s="21">
        <f t="shared" si="9"/>
        <v>46.312632578692579</v>
      </c>
      <c r="O9" s="158">
        <f t="shared" si="5"/>
        <v>-65468.490000000224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125809</v>
      </c>
      <c r="E10" s="35">
        <f t="shared" si="10"/>
        <v>40973.94</v>
      </c>
      <c r="F10" s="163">
        <f t="shared" si="1"/>
        <v>32.568369512515005</v>
      </c>
      <c r="G10" s="163">
        <f t="shared" si="2"/>
        <v>15.958567021873248</v>
      </c>
      <c r="H10" s="164">
        <f t="shared" si="3"/>
        <v>-84835.06</v>
      </c>
      <c r="I10" s="109">
        <v>256752</v>
      </c>
      <c r="J10" s="117">
        <v>256752</v>
      </c>
      <c r="K10" s="84">
        <v>125809</v>
      </c>
      <c r="L10" s="91">
        <v>40973.94</v>
      </c>
      <c r="M10" s="156">
        <f t="shared" si="4"/>
        <v>32.568369512515005</v>
      </c>
      <c r="N10" s="21">
        <f t="shared" si="9"/>
        <v>15.958567021873248</v>
      </c>
      <c r="O10" s="158">
        <f t="shared" si="5"/>
        <v>-84835.06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7200634</v>
      </c>
      <c r="D11" s="54">
        <f t="shared" si="10"/>
        <v>7148643</v>
      </c>
      <c r="E11" s="35">
        <f t="shared" si="10"/>
        <v>7614739.0899999999</v>
      </c>
      <c r="F11" s="163">
        <f t="shared" si="1"/>
        <v>106.52006387785767</v>
      </c>
      <c r="G11" s="163">
        <f t="shared" si="2"/>
        <v>105.75095317995608</v>
      </c>
      <c r="H11" s="164">
        <f t="shared" si="3"/>
        <v>466096.08999999985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7200634</v>
      </c>
      <c r="R11" s="126">
        <v>7148643</v>
      </c>
      <c r="S11" s="91">
        <v>7614739.0899999999</v>
      </c>
      <c r="T11" s="159">
        <f t="shared" si="6"/>
        <v>106.52006387785767</v>
      </c>
      <c r="U11" s="160">
        <f t="shared" si="7"/>
        <v>105.75095317995608</v>
      </c>
      <c r="V11" s="161">
        <f t="shared" si="8"/>
        <v>466096.08999999985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60912421</v>
      </c>
      <c r="D12" s="47">
        <f>D13+D14+D15+D16</f>
        <v>14681683</v>
      </c>
      <c r="E12" s="34">
        <f>E13+E14+E15+E16</f>
        <v>12319919.140000001</v>
      </c>
      <c r="F12" s="162">
        <f t="shared" si="1"/>
        <v>83.913534572296655</v>
      </c>
      <c r="G12" s="162">
        <f t="shared" si="2"/>
        <v>20.225627117989614</v>
      </c>
      <c r="H12" s="51">
        <f t="shared" si="3"/>
        <v>-2361763.8599999994</v>
      </c>
      <c r="I12" s="30">
        <f>I13+I14+I15+I16</f>
        <v>16422976</v>
      </c>
      <c r="J12" s="116">
        <f>J13+J14+J15+J16</f>
        <v>16422976</v>
      </c>
      <c r="K12" s="82">
        <f>K13+K14+K15+K16</f>
        <v>2848843</v>
      </c>
      <c r="L12" s="32">
        <f>L13+L14+L15+L16</f>
        <v>2566795.08</v>
      </c>
      <c r="M12" s="156">
        <f t="shared" si="4"/>
        <v>90.099562524154535</v>
      </c>
      <c r="N12" s="21">
        <f t="shared" si="9"/>
        <v>15.629293253549175</v>
      </c>
      <c r="O12" s="157">
        <f t="shared" si="5"/>
        <v>-282047.91999999993</v>
      </c>
      <c r="P12" s="103">
        <f>P13+P14+P15+P16</f>
        <v>44299445</v>
      </c>
      <c r="Q12" s="41">
        <f>Q13+Q14+Q16</f>
        <v>44489445</v>
      </c>
      <c r="R12" s="127">
        <f>R13+R14+R15+R16</f>
        <v>11832840</v>
      </c>
      <c r="S12" s="32">
        <f>S13+S14+S15+S16</f>
        <v>9753124.0599999987</v>
      </c>
      <c r="T12" s="21">
        <f t="shared" si="6"/>
        <v>82.424202980856649</v>
      </c>
      <c r="U12" s="148">
        <f t="shared" si="7"/>
        <v>21.922332499315285</v>
      </c>
      <c r="V12" s="150">
        <f t="shared" si="8"/>
        <v>-2079715.9400000013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t="shared" ref="D13:E15" si="11">K13+R13</f>
        <v>361971</v>
      </c>
      <c r="E13" s="35">
        <f t="shared" si="11"/>
        <v>312855.83</v>
      </c>
      <c r="F13" s="163">
        <f t="shared" si="1"/>
        <v>86.431186476264671</v>
      </c>
      <c r="G13" s="163">
        <f t="shared" si="2"/>
        <v>6.4848260799360933</v>
      </c>
      <c r="H13" s="164">
        <f t="shared" si="3"/>
        <v>-49115.169999999984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361971</v>
      </c>
      <c r="S13" s="91">
        <v>312855.83</v>
      </c>
      <c r="T13" s="159">
        <f t="shared" si="6"/>
        <v>86.431186476264671</v>
      </c>
      <c r="U13" s="160">
        <f t="shared" si="7"/>
        <v>6.4848260799360933</v>
      </c>
      <c r="V13" s="161">
        <f t="shared" si="8"/>
        <v>-49115.169999999984</v>
      </c>
    </row>
    <row r="14" spans="1:22" ht="16.5">
      <c r="A14" s="15" t="s">
        <v>5</v>
      </c>
      <c r="B14" s="98">
        <f>I14+P14</f>
        <v>23568001</v>
      </c>
      <c r="C14" s="50">
        <f t="shared" si="0"/>
        <v>23758001</v>
      </c>
      <c r="D14" s="54">
        <f t="shared" si="11"/>
        <v>8677861</v>
      </c>
      <c r="E14" s="35">
        <f t="shared" si="11"/>
        <v>6873470.2599999998</v>
      </c>
      <c r="F14" s="163">
        <f t="shared" si="1"/>
        <v>79.206964250752577</v>
      </c>
      <c r="G14" s="163">
        <f t="shared" si="2"/>
        <v>28.931180952471546</v>
      </c>
      <c r="H14" s="164">
        <f t="shared" si="3"/>
        <v>-1804390.7400000002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23758001</v>
      </c>
      <c r="R14" s="126">
        <v>8677861</v>
      </c>
      <c r="S14" s="91">
        <v>6873470.2599999998</v>
      </c>
      <c r="T14" s="159">
        <f t="shared" si="6"/>
        <v>79.206964250752577</v>
      </c>
      <c r="U14" s="160">
        <f t="shared" si="7"/>
        <v>28.931180952471546</v>
      </c>
      <c r="V14" s="161">
        <f t="shared" si="8"/>
        <v>-1804390.7400000002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5641851</v>
      </c>
      <c r="E16" s="34">
        <f>E17+E18</f>
        <v>5133593.05</v>
      </c>
      <c r="F16" s="162">
        <f t="shared" si="1"/>
        <v>90.991290801547223</v>
      </c>
      <c r="G16" s="162">
        <f t="shared" si="2"/>
        <v>15.878733309885549</v>
      </c>
      <c r="H16" s="51">
        <f t="shared" si="3"/>
        <v>-508257.95000000019</v>
      </c>
      <c r="I16" s="30">
        <f>I17+I18</f>
        <v>16422976</v>
      </c>
      <c r="J16" s="116">
        <f>J17+J18</f>
        <v>16422976</v>
      </c>
      <c r="K16" s="82">
        <f>K17+K18</f>
        <v>2848843</v>
      </c>
      <c r="L16" s="32">
        <f>L17+L18</f>
        <v>2566795.08</v>
      </c>
      <c r="M16" s="156">
        <f t="shared" si="4"/>
        <v>90.099562524154535</v>
      </c>
      <c r="N16" s="25">
        <f>L16/J16*100</f>
        <v>15.629293253549175</v>
      </c>
      <c r="O16" s="157">
        <f t="shared" si="5"/>
        <v>-282047.91999999993</v>
      </c>
      <c r="P16" s="103">
        <f>P17+P18</f>
        <v>15907015</v>
      </c>
      <c r="Q16" s="41">
        <f>Q17+Q18</f>
        <v>15907015</v>
      </c>
      <c r="R16" s="127">
        <f>R17+R18</f>
        <v>2793008</v>
      </c>
      <c r="S16" s="32">
        <f>S17+S18</f>
        <v>2566797.9699999997</v>
      </c>
      <c r="T16" s="21">
        <f t="shared" si="6"/>
        <v>91.900845611612993</v>
      </c>
      <c r="U16" s="148">
        <f t="shared" si="7"/>
        <v>16.136264220534148</v>
      </c>
      <c r="V16" s="150">
        <f t="shared" si="8"/>
        <v>-226210.03000000026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t="shared" ref="D17:E20" si="12">K17+R17</f>
        <v>2769811</v>
      </c>
      <c r="E17" s="35">
        <f t="shared" si="12"/>
        <v>2707485.26</v>
      </c>
      <c r="F17" s="163">
        <f t="shared" si="1"/>
        <v>97.749819753044505</v>
      </c>
      <c r="G17" s="163">
        <f t="shared" si="2"/>
        <v>62.522593351993606</v>
      </c>
      <c r="H17" s="164">
        <f t="shared" si="3"/>
        <v>-62325.740000000224</v>
      </c>
      <c r="I17" s="109">
        <v>2026000</v>
      </c>
      <c r="J17" s="117">
        <v>2026000</v>
      </c>
      <c r="K17" s="132">
        <v>1337160</v>
      </c>
      <c r="L17" s="91">
        <v>1353742.48</v>
      </c>
      <c r="M17" s="156">
        <f t="shared" si="4"/>
        <v>101.24012683598073</v>
      </c>
      <c r="N17" s="25">
        <f t="shared" ref="N17:N37" si="13">L17/J17*100</f>
        <v>66.818483711747291</v>
      </c>
      <c r="O17" s="158">
        <f t="shared" si="5"/>
        <v>16582.479999999981</v>
      </c>
      <c r="P17" s="104">
        <v>2304411</v>
      </c>
      <c r="Q17" s="42">
        <v>2304411</v>
      </c>
      <c r="R17" s="126">
        <v>1432651</v>
      </c>
      <c r="S17" s="91">
        <v>1353742.78</v>
      </c>
      <c r="T17" s="159">
        <f t="shared" si="6"/>
        <v>94.492153357656534</v>
      </c>
      <c r="U17" s="160">
        <f t="shared" si="7"/>
        <v>58.745717669287288</v>
      </c>
      <c r="V17" s="161">
        <f t="shared" si="8"/>
        <v>-78908.219999999972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2872040</v>
      </c>
      <c r="E18" s="35">
        <f t="shared" si="12"/>
        <v>2426107.79</v>
      </c>
      <c r="F18" s="163">
        <f t="shared" si="1"/>
        <v>84.473328714084758</v>
      </c>
      <c r="G18" s="163">
        <f t="shared" si="2"/>
        <v>8.6648006505811885</v>
      </c>
      <c r="H18" s="164">
        <f t="shared" si="3"/>
        <v>-445932.20999999996</v>
      </c>
      <c r="I18" s="109">
        <v>14396976</v>
      </c>
      <c r="J18" s="117">
        <v>14396976</v>
      </c>
      <c r="K18" s="84">
        <v>1511683</v>
      </c>
      <c r="L18" s="91">
        <v>1213052.6000000001</v>
      </c>
      <c r="M18" s="156">
        <f t="shared" si="4"/>
        <v>80.245170449095482</v>
      </c>
      <c r="N18" s="25">
        <f t="shared" si="13"/>
        <v>8.4257457955059465</v>
      </c>
      <c r="O18" s="158">
        <f t="shared" si="5"/>
        <v>-298630.39999999991</v>
      </c>
      <c r="P18" s="104">
        <v>13602604</v>
      </c>
      <c r="Q18" s="42">
        <v>13602604</v>
      </c>
      <c r="R18" s="126">
        <v>1360357</v>
      </c>
      <c r="S18" s="91">
        <v>1213055.19</v>
      </c>
      <c r="T18" s="159">
        <f t="shared" si="6"/>
        <v>89.171826954248033</v>
      </c>
      <c r="U18" s="160">
        <f t="shared" si="7"/>
        <v>8.9178159564154029</v>
      </c>
      <c r="V18" s="161">
        <f t="shared" si="8"/>
        <v>-147301.81000000006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731839</v>
      </c>
      <c r="E19" s="34">
        <f t="shared" si="12"/>
        <v>603625.51</v>
      </c>
      <c r="F19" s="162">
        <f t="shared" si="1"/>
        <v>82.480642600353363</v>
      </c>
      <c r="G19" s="162">
        <f t="shared" si="2"/>
        <v>41.579192408605067</v>
      </c>
      <c r="H19" s="51">
        <f t="shared" si="3"/>
        <v>-128213.48999999999</v>
      </c>
      <c r="I19" s="30">
        <v>942066</v>
      </c>
      <c r="J19" s="116">
        <v>942066</v>
      </c>
      <c r="K19" s="73">
        <v>482904</v>
      </c>
      <c r="L19" s="81">
        <v>430193.51</v>
      </c>
      <c r="M19" s="156">
        <f t="shared" si="4"/>
        <v>89.084685568974379</v>
      </c>
      <c r="N19" s="25">
        <f t="shared" si="13"/>
        <v>45.664901397566624</v>
      </c>
      <c r="O19" s="157">
        <f t="shared" si="5"/>
        <v>-52710.489999999991</v>
      </c>
      <c r="P19" s="103">
        <v>509683</v>
      </c>
      <c r="Q19" s="41">
        <v>509683</v>
      </c>
      <c r="R19" s="96">
        <v>248935</v>
      </c>
      <c r="S19" s="81">
        <v>173432</v>
      </c>
      <c r="T19" s="21">
        <f t="shared" si="6"/>
        <v>69.669592463896208</v>
      </c>
      <c r="U19" s="148">
        <f t="shared" si="7"/>
        <v>34.027424889588239</v>
      </c>
      <c r="V19" s="150">
        <f t="shared" si="8"/>
        <v>-75503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33598552</v>
      </c>
      <c r="E21" s="36">
        <f>E22+E23+E24+E25+E26</f>
        <v>19539365.589999996</v>
      </c>
      <c r="F21" s="162">
        <f t="shared" si="1"/>
        <v>58.155379999709503</v>
      </c>
      <c r="G21" s="162">
        <f t="shared" si="2"/>
        <v>28.69111816162842</v>
      </c>
      <c r="H21" s="166">
        <f t="shared" si="3"/>
        <v>-14059186.410000004</v>
      </c>
      <c r="I21" s="110">
        <f>I22+I23+I24+I25+I26</f>
        <v>33090058</v>
      </c>
      <c r="J21" s="118">
        <f>J22+J23+J24+J25+J26</f>
        <v>39890848</v>
      </c>
      <c r="K21" s="86">
        <f>K22+K23+K24+K25+K26</f>
        <v>23241811</v>
      </c>
      <c r="L21" s="67">
        <f>L22+L23+L24+L25+L26</f>
        <v>18457367.57</v>
      </c>
      <c r="M21" s="156">
        <f t="shared" si="4"/>
        <v>79.414498164536312</v>
      </c>
      <c r="N21" s="25">
        <f t="shared" si="13"/>
        <v>46.269679626765523</v>
      </c>
      <c r="O21" s="157">
        <f t="shared" si="5"/>
        <v>-4784443.43</v>
      </c>
      <c r="P21" s="105">
        <f>P22+P23+P24+P25+P26</f>
        <v>36024286</v>
      </c>
      <c r="Q21" s="133">
        <f>Q22+Q23+Q25+Q24</f>
        <v>28211641</v>
      </c>
      <c r="R21" s="135">
        <f>R22+R23+R25+R24</f>
        <v>10356741</v>
      </c>
      <c r="S21" s="134">
        <f>S22+S23+S25+S24</f>
        <v>1081998.02</v>
      </c>
      <c r="T21" s="21">
        <f t="shared" si="6"/>
        <v>10.447282789054974</v>
      </c>
      <c r="U21" s="148">
        <f t="shared" si="7"/>
        <v>3.8352891985262398</v>
      </c>
      <c r="V21" s="150">
        <f t="shared" si="8"/>
        <v>-9274742.9800000004</v>
      </c>
    </row>
    <row r="22" spans="1:22" ht="16.5">
      <c r="A22" s="15" t="s">
        <v>12</v>
      </c>
      <c r="B22" s="98">
        <f t="shared" ref="B22:B28" si="14">I22+P22</f>
        <v>65254940</v>
      </c>
      <c r="C22" s="50">
        <f t="shared" si="0"/>
        <v>64324185</v>
      </c>
      <c r="D22" s="54">
        <f t="shared" ref="D22:E28" si="15">K22+R22</f>
        <v>31809665</v>
      </c>
      <c r="E22" s="35">
        <f t="shared" si="15"/>
        <v>18188083.899999999</v>
      </c>
      <c r="F22" s="163">
        <f t="shared" si="1"/>
        <v>57.177854277937222</v>
      </c>
      <c r="G22" s="163">
        <f t="shared" si="2"/>
        <v>28.27565386176288</v>
      </c>
      <c r="H22" s="167">
        <f t="shared" si="3"/>
        <v>-13621581.100000001</v>
      </c>
      <c r="I22" s="109">
        <f>32556323+121365</f>
        <v>32677688</v>
      </c>
      <c r="J22" s="117">
        <f>39438213+121365</f>
        <v>39559578</v>
      </c>
      <c r="K22" s="84">
        <f>23050540+60000</f>
        <v>23110540</v>
      </c>
      <c r="L22" s="66">
        <f>18149866.5+38159.86</f>
        <v>18188026.359999999</v>
      </c>
      <c r="M22" s="156">
        <f t="shared" si="4"/>
        <v>78.700135782201542</v>
      </c>
      <c r="N22" s="25">
        <f t="shared" si="13"/>
        <v>45.97629014141657</v>
      </c>
      <c r="O22" s="158">
        <f t="shared" si="5"/>
        <v>-4922513.6400000006</v>
      </c>
      <c r="P22" s="104">
        <f>32556252+21000</f>
        <v>32577252</v>
      </c>
      <c r="Q22" s="42">
        <f>24743607+21000</f>
        <v>24764607</v>
      </c>
      <c r="R22" s="125">
        <f>8688625+10500</f>
        <v>8699125</v>
      </c>
      <c r="S22" s="66">
        <v>57.54</v>
      </c>
      <c r="T22" s="159">
        <f t="shared" si="6"/>
        <v>6.6144583506961901E-4</v>
      </c>
      <c r="U22" s="160">
        <f t="shared" si="7"/>
        <v>2.323477210843685E-4</v>
      </c>
      <c r="V22" s="161">
        <f t="shared" si="8"/>
        <v>-8699067.4600000009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1607675</v>
      </c>
      <c r="E23" s="37">
        <f t="shared" si="15"/>
        <v>1228383.99</v>
      </c>
      <c r="F23" s="163">
        <f t="shared" si="1"/>
        <v>76.407482233660403</v>
      </c>
      <c r="G23" s="163">
        <f t="shared" si="2"/>
        <v>36.88196207149381</v>
      </c>
      <c r="H23" s="164">
        <f t="shared" si="3"/>
        <v>-379291.01</v>
      </c>
      <c r="I23" s="111">
        <v>412370</v>
      </c>
      <c r="J23" s="119">
        <v>331270</v>
      </c>
      <c r="K23" s="87">
        <v>131271</v>
      </c>
      <c r="L23" s="92">
        <v>197761.3</v>
      </c>
      <c r="M23" s="156">
        <f t="shared" si="4"/>
        <v>150.65117200295569</v>
      </c>
      <c r="N23" s="25">
        <f t="shared" si="13"/>
        <v>59.697920125577319</v>
      </c>
      <c r="O23" s="158">
        <f t="shared" si="5"/>
        <v>66490.299999999988</v>
      </c>
      <c r="P23" s="106">
        <v>2999312</v>
      </c>
      <c r="Q23" s="42">
        <v>2999312</v>
      </c>
      <c r="R23" s="128">
        <v>1476404</v>
      </c>
      <c r="S23" s="92">
        <v>1030622.69</v>
      </c>
      <c r="T23" s="159">
        <f t="shared" si="6"/>
        <v>69.806278633761494</v>
      </c>
      <c r="U23" s="160">
        <f t="shared" si="7"/>
        <v>34.361970011789367</v>
      </c>
      <c r="V23" s="161">
        <f t="shared" si="8"/>
        <v>-445781.31000000006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181212</v>
      </c>
      <c r="E25" s="37">
        <f t="shared" si="15"/>
        <v>114497.70000000001</v>
      </c>
      <c r="F25" s="163">
        <f t="shared" si="1"/>
        <v>63.184391762134965</v>
      </c>
      <c r="G25" s="163">
        <f t="shared" si="2"/>
        <v>25.573391524204752</v>
      </c>
      <c r="H25" s="164">
        <f t="shared" si="3"/>
        <v>-66714.299999999988</v>
      </c>
      <c r="I25" s="111">
        <v>0</v>
      </c>
      <c r="J25" s="119">
        <v>0</v>
      </c>
      <c r="K25" s="87">
        <v>0</v>
      </c>
      <c r="L25" s="68">
        <v>71579.91</v>
      </c>
      <c r="M25" s="156"/>
      <c r="N25" s="25"/>
      <c r="O25" s="158">
        <f t="shared" si="5"/>
        <v>71579.91</v>
      </c>
      <c r="P25" s="106">
        <v>447722</v>
      </c>
      <c r="Q25" s="42">
        <v>447722</v>
      </c>
      <c r="R25" s="128">
        <v>181212</v>
      </c>
      <c r="S25" s="92">
        <v>42917.79</v>
      </c>
      <c r="T25" s="159">
        <f t="shared" si="6"/>
        <v>23.683746109529171</v>
      </c>
      <c r="U25" s="160">
        <f t="shared" si="7"/>
        <v>9.585812178092656</v>
      </c>
      <c r="V25" s="161">
        <f t="shared" si="8"/>
        <v>-138294.21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2987850</v>
      </c>
      <c r="E27" s="38">
        <f t="shared" si="15"/>
        <v>2958203.1</v>
      </c>
      <c r="F27" s="162">
        <f t="shared" si="1"/>
        <v>99.007751393142229</v>
      </c>
      <c r="G27" s="162">
        <f t="shared" si="2"/>
        <v>72.681337067885309</v>
      </c>
      <c r="H27" s="51">
        <f t="shared" si="3"/>
        <v>-29646.899999999907</v>
      </c>
      <c r="I27" s="112">
        <v>4070100</v>
      </c>
      <c r="J27" s="138">
        <v>4070100</v>
      </c>
      <c r="K27" s="93">
        <v>2987850</v>
      </c>
      <c r="L27" s="81">
        <v>2958203.1</v>
      </c>
      <c r="M27" s="156">
        <f t="shared" si="4"/>
        <v>99.007751393142229</v>
      </c>
      <c r="N27" s="25">
        <f t="shared" si="13"/>
        <v>72.681337067885309</v>
      </c>
      <c r="O27" s="157">
        <f t="shared" si="5"/>
        <v>-29646.899999999907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31192.78</v>
      </c>
      <c r="F28" s="162">
        <f t="shared" si="1"/>
        <v>108.03438920985376</v>
      </c>
      <c r="G28" s="162">
        <f t="shared" si="2"/>
        <v>108.03438920985376</v>
      </c>
      <c r="H28" s="51">
        <f t="shared" si="3"/>
        <v>2319.7699999999968</v>
      </c>
      <c r="I28" s="103">
        <v>21260</v>
      </c>
      <c r="J28" s="120">
        <v>21260</v>
      </c>
      <c r="K28" s="76">
        <v>21260</v>
      </c>
      <c r="L28" s="81">
        <v>21505.599999999999</v>
      </c>
      <c r="M28" s="156">
        <f t="shared" si="4"/>
        <v>101.15522107243649</v>
      </c>
      <c r="N28" s="25">
        <f t="shared" si="13"/>
        <v>101.15522107243649</v>
      </c>
      <c r="O28" s="157">
        <f t="shared" si="5"/>
        <v>245.59999999999854</v>
      </c>
      <c r="P28" s="103">
        <v>0</v>
      </c>
      <c r="Q28" s="41">
        <v>7613.01</v>
      </c>
      <c r="R28" s="96">
        <v>7613.01</v>
      </c>
      <c r="S28" s="81">
        <v>9687.18</v>
      </c>
      <c r="T28" s="21">
        <f t="shared" si="6"/>
        <v>127.24507126616147</v>
      </c>
      <c r="U28" s="148">
        <f t="shared" si="7"/>
        <v>127.24507126616147</v>
      </c>
      <c r="V28" s="150">
        <f t="shared" si="8"/>
        <v>2074.17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9106340</v>
      </c>
      <c r="D29" s="60">
        <f>D30+D31</f>
        <v>7371400</v>
      </c>
      <c r="E29" s="38">
        <f>E30+E31</f>
        <v>7603759.7599999998</v>
      </c>
      <c r="F29" s="162">
        <f t="shared" si="1"/>
        <v>103.15217950457172</v>
      </c>
      <c r="G29" s="162">
        <f t="shared" si="2"/>
        <v>83.499625096361427</v>
      </c>
      <c r="H29" s="51">
        <f t="shared" si="3"/>
        <v>232359.75999999978</v>
      </c>
      <c r="I29" s="113">
        <f>I30+I31</f>
        <v>3337900</v>
      </c>
      <c r="J29" s="121">
        <f>J30+J31</f>
        <v>5462340</v>
      </c>
      <c r="K29" s="88">
        <f>K30+K31</f>
        <v>5459590</v>
      </c>
      <c r="L29" s="69">
        <f>L30+L31</f>
        <v>6586834.2400000002</v>
      </c>
      <c r="M29" s="156">
        <f t="shared" si="4"/>
        <v>120.64704932055339</v>
      </c>
      <c r="N29" s="25">
        <f t="shared" si="13"/>
        <v>120.58630989649126</v>
      </c>
      <c r="O29" s="157">
        <f t="shared" si="5"/>
        <v>1127244.2400000002</v>
      </c>
      <c r="P29" s="107">
        <f>P30+P31</f>
        <v>3932350</v>
      </c>
      <c r="Q29" s="41">
        <f>Q30+Q31</f>
        <v>3644000</v>
      </c>
      <c r="R29" s="130">
        <f>R30+R31</f>
        <v>1911810</v>
      </c>
      <c r="S29" s="69">
        <f>S30+S31</f>
        <v>1016925.52</v>
      </c>
      <c r="T29" s="21">
        <f t="shared" si="6"/>
        <v>53.191766964290387</v>
      </c>
      <c r="U29" s="148">
        <f t="shared" si="7"/>
        <v>27.906847420417126</v>
      </c>
      <c r="V29" s="150">
        <f t="shared" si="8"/>
        <v>-894884.48</v>
      </c>
    </row>
    <row r="30" spans="1:22" ht="16.5">
      <c r="A30" s="15" t="s">
        <v>14</v>
      </c>
      <c r="B30" s="98">
        <f>I30+P30</f>
        <v>650000</v>
      </c>
      <c r="C30" s="50">
        <f t="shared" si="0"/>
        <v>1321100</v>
      </c>
      <c r="D30" s="54">
        <f t="shared" ref="D30:E32" si="16">K30+R30</f>
        <v>1296100</v>
      </c>
      <c r="E30" s="35">
        <f t="shared" si="16"/>
        <v>1796064.31</v>
      </c>
      <c r="F30" s="163">
        <f t="shared" si="1"/>
        <v>138.5745166268035</v>
      </c>
      <c r="G30" s="163">
        <f t="shared" si="2"/>
        <v>135.95218454318371</v>
      </c>
      <c r="H30" s="164">
        <f t="shared" si="3"/>
        <v>499964.31000000006</v>
      </c>
      <c r="I30" s="109">
        <v>570000</v>
      </c>
      <c r="J30" s="117">
        <v>651100</v>
      </c>
      <c r="K30" s="84">
        <v>651100</v>
      </c>
      <c r="L30" s="91">
        <v>966648.31</v>
      </c>
      <c r="M30" s="156">
        <f t="shared" si="4"/>
        <v>148.4638780525265</v>
      </c>
      <c r="N30" s="25">
        <f t="shared" si="13"/>
        <v>148.4638780525265</v>
      </c>
      <c r="O30" s="158">
        <f t="shared" si="5"/>
        <v>315548.31000000006</v>
      </c>
      <c r="P30" s="104">
        <v>80000</v>
      </c>
      <c r="Q30" s="42">
        <v>670000</v>
      </c>
      <c r="R30" s="126">
        <v>645000</v>
      </c>
      <c r="S30" s="91">
        <v>829416</v>
      </c>
      <c r="T30" s="159">
        <f t="shared" si="6"/>
        <v>128.59162790697673</v>
      </c>
      <c r="U30" s="160">
        <f t="shared" si="7"/>
        <v>123.79343283582089</v>
      </c>
      <c r="V30" s="161">
        <f t="shared" si="8"/>
        <v>184416</v>
      </c>
    </row>
    <row r="31" spans="1:22" ht="16.5">
      <c r="A31" s="15" t="s">
        <v>15</v>
      </c>
      <c r="B31" s="98">
        <f>I31+P31</f>
        <v>6620250</v>
      </c>
      <c r="C31" s="50">
        <f t="shared" si="0"/>
        <v>7785240</v>
      </c>
      <c r="D31" s="54">
        <f t="shared" si="16"/>
        <v>6075300</v>
      </c>
      <c r="E31" s="35">
        <f t="shared" si="16"/>
        <v>5807695.4499999993</v>
      </c>
      <c r="F31" s="163">
        <f t="shared" si="1"/>
        <v>95.595204352048441</v>
      </c>
      <c r="G31" s="163">
        <f t="shared" si="2"/>
        <v>74.59879785337381</v>
      </c>
      <c r="H31" s="164">
        <f t="shared" si="3"/>
        <v>-267604.55000000075</v>
      </c>
      <c r="I31" s="109">
        <v>2767900</v>
      </c>
      <c r="J31" s="117">
        <v>4811240</v>
      </c>
      <c r="K31" s="84">
        <v>4808490</v>
      </c>
      <c r="L31" s="91">
        <v>5620185.9299999997</v>
      </c>
      <c r="M31" s="156">
        <f t="shared" si="4"/>
        <v>116.88047453566503</v>
      </c>
      <c r="N31" s="25">
        <f t="shared" si="13"/>
        <v>116.8136682019604</v>
      </c>
      <c r="O31" s="158">
        <f t="shared" si="5"/>
        <v>811695.9299999997</v>
      </c>
      <c r="P31" s="104">
        <v>3852350</v>
      </c>
      <c r="Q31" s="42">
        <v>2974000</v>
      </c>
      <c r="R31" s="136">
        <v>1266810</v>
      </c>
      <c r="S31" s="91">
        <v>187509.52</v>
      </c>
      <c r="T31" s="159">
        <f t="shared" si="6"/>
        <v>14.801708227753174</v>
      </c>
      <c r="U31" s="160">
        <f t="shared" si="7"/>
        <v>6.3049603227975783</v>
      </c>
      <c r="V31" s="161">
        <f t="shared" si="8"/>
        <v>-1079300.48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139409</v>
      </c>
      <c r="E32" s="34">
        <f t="shared" si="16"/>
        <v>575076.92999999993</v>
      </c>
      <c r="F32" s="162">
        <f t="shared" si="1"/>
        <v>412.51061983085737</v>
      </c>
      <c r="G32" s="162">
        <f t="shared" si="2"/>
        <v>103.13745756237186</v>
      </c>
      <c r="H32" s="51">
        <f t="shared" si="3"/>
        <v>435667.92999999993</v>
      </c>
      <c r="I32" s="30">
        <v>557583</v>
      </c>
      <c r="J32" s="116">
        <v>557583</v>
      </c>
      <c r="K32" s="82">
        <v>139409</v>
      </c>
      <c r="L32" s="81">
        <v>543657.85</v>
      </c>
      <c r="M32" s="156">
        <f t="shared" si="4"/>
        <v>389.97328006082819</v>
      </c>
      <c r="N32" s="25">
        <f t="shared" si="13"/>
        <v>97.502587058787654</v>
      </c>
      <c r="O32" s="157">
        <f t="shared" si="5"/>
        <v>404248.85</v>
      </c>
      <c r="P32" s="103">
        <v>0</v>
      </c>
      <c r="Q32" s="41">
        <v>0</v>
      </c>
      <c r="R32" s="96">
        <v>0</v>
      </c>
      <c r="S32" s="81">
        <v>31419.08</v>
      </c>
      <c r="T32" s="21"/>
      <c r="U32" s="148"/>
      <c r="V32" s="150">
        <f t="shared" si="8"/>
        <v>31419.08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511512.6</v>
      </c>
      <c r="D33" s="47">
        <f>D34+D35+D36</f>
        <v>511512.6</v>
      </c>
      <c r="E33" s="34">
        <f>E34+E35+E36</f>
        <v>558373.37</v>
      </c>
      <c r="F33" s="162">
        <f t="shared" si="1"/>
        <v>109.16121518805207</v>
      </c>
      <c r="G33" s="162">
        <f t="shared" si="2"/>
        <v>109.16121518805207</v>
      </c>
      <c r="H33" s="51">
        <f t="shared" si="3"/>
        <v>46860.770000000019</v>
      </c>
      <c r="I33" s="30">
        <v>0</v>
      </c>
      <c r="J33" s="116">
        <v>0</v>
      </c>
      <c r="K33" s="82">
        <f>K34+K35+K36</f>
        <v>0</v>
      </c>
      <c r="L33" s="32">
        <f>L34+L35+L36</f>
        <v>2012.3400000000001</v>
      </c>
      <c r="M33" s="156"/>
      <c r="N33" s="25"/>
      <c r="O33" s="157">
        <f t="shared" si="5"/>
        <v>2012.3400000000001</v>
      </c>
      <c r="P33" s="103">
        <v>0</v>
      </c>
      <c r="Q33" s="41">
        <f>Q34+Q35+Q36</f>
        <v>511512.6</v>
      </c>
      <c r="R33" s="124">
        <f>R34+R35+R36</f>
        <v>511512.6</v>
      </c>
      <c r="S33" s="32">
        <f>S34+S35+S36</f>
        <v>556361.03</v>
      </c>
      <c r="T33" s="21">
        <f t="shared" si="6"/>
        <v>108.76780552424322</v>
      </c>
      <c r="U33" s="148">
        <f t="shared" si="7"/>
        <v>108.76780552424322</v>
      </c>
      <c r="V33" s="150">
        <f t="shared" si="8"/>
        <v>44848.430000000051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t="shared" ref="D34:E36" si="17">K34++R34</f>
        <v>0</v>
      </c>
      <c r="E34" s="35">
        <f t="shared" si="17"/>
        <v>812.34</v>
      </c>
      <c r="F34" s="163"/>
      <c r="G34" s="163"/>
      <c r="H34" s="164">
        <f t="shared" si="3"/>
        <v>812.34</v>
      </c>
      <c r="I34" s="109"/>
      <c r="J34" s="117"/>
      <c r="K34" s="84"/>
      <c r="L34" s="66">
        <v>812.34</v>
      </c>
      <c r="M34" s="156"/>
      <c r="N34" s="25"/>
      <c r="O34" s="158">
        <f t="shared" si="5"/>
        <v>812.34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511512.6</v>
      </c>
      <c r="D35" s="54">
        <f t="shared" si="17"/>
        <v>511512.6</v>
      </c>
      <c r="E35" s="35">
        <f t="shared" si="17"/>
        <v>557561.03</v>
      </c>
      <c r="F35" s="163">
        <f t="shared" si="1"/>
        <v>109.00240385085334</v>
      </c>
      <c r="G35" s="163">
        <f t="shared" si="2"/>
        <v>109.00240385085334</v>
      </c>
      <c r="H35" s="164">
        <f t="shared" si="3"/>
        <v>46048.430000000051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511512.6</v>
      </c>
      <c r="R35" s="126">
        <v>511512.6</v>
      </c>
      <c r="S35" s="91">
        <v>556361.03</v>
      </c>
      <c r="T35" s="159">
        <f t="shared" si="6"/>
        <v>108.76780552424322</v>
      </c>
      <c r="U35" s="160">
        <f t="shared" si="7"/>
        <v>108.76780552424322</v>
      </c>
      <c r="V35" s="161">
        <f t="shared" si="8"/>
        <v>44848.430000000051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269685830.61000001</v>
      </c>
      <c r="D37" s="62">
        <f>K37+R37</f>
        <v>122479506.72</v>
      </c>
      <c r="E37" s="39">
        <f>L37+S37</f>
        <v>93293333.930000007</v>
      </c>
      <c r="F37" s="162">
        <f t="shared" si="1"/>
        <v>76.170566348930194</v>
      </c>
      <c r="G37" s="162">
        <f t="shared" si="2"/>
        <v>34.593339115733528</v>
      </c>
      <c r="H37" s="166">
        <f t="shared" si="3"/>
        <v>-29186172.789999992</v>
      </c>
      <c r="I37" s="108">
        <f t="shared" ref="I37:S37" si="18">I5</f>
        <v>138568562</v>
      </c>
      <c r="J37" s="122">
        <f t="shared" si="18"/>
        <v>147493792</v>
      </c>
      <c r="K37" s="80">
        <f t="shared" si="18"/>
        <v>73156304</v>
      </c>
      <c r="L37" s="70">
        <f t="shared" si="18"/>
        <v>60217577.730000012</v>
      </c>
      <c r="M37" s="156">
        <f t="shared" si="4"/>
        <v>82.31358671427688</v>
      </c>
      <c r="N37" s="25">
        <f t="shared" si="13"/>
        <v>40.827194767627923</v>
      </c>
      <c r="O37" s="165">
        <f t="shared" si="5"/>
        <v>-12938726.269999988</v>
      </c>
      <c r="P37" s="108">
        <f t="shared" si="18"/>
        <v>123754900</v>
      </c>
      <c r="Q37" s="122">
        <f t="shared" si="18"/>
        <v>122192038.61</v>
      </c>
      <c r="R37" s="131">
        <f t="shared" si="18"/>
        <v>49323202.719999999</v>
      </c>
      <c r="S37" s="70">
        <f t="shared" si="18"/>
        <v>33075756.199999996</v>
      </c>
      <c r="T37" s="21">
        <f t="shared" si="6"/>
        <v>67.059222386197874</v>
      </c>
      <c r="U37" s="155">
        <f t="shared" si="7"/>
        <v>27.068667137609349</v>
      </c>
      <c r="V37" s="150">
        <f t="shared" si="8"/>
        <v>-16247446.520000003</v>
      </c>
    </row>
    <row r="38" spans="1:22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spans="1:22" hidden="1"/>
  </sheetData>
  <mergeCells count="5">
    <mergeCell ref="A3:A4"/>
    <mergeCell ref="B3:G3"/>
    <mergeCell ref="I3:N3"/>
    <mergeCell ref="P3:V3"/>
    <mergeCell ref="A1:O2"/>
  </mergeCells>
  <pageMargins left="0.51181102362204722" right="0" top="0.74803149606299213" bottom="0" header="0.31496062992125984" footer="0.31496062992125984"/>
  <pageSetup paperSize="9" scale="67" fitToWidth="2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41"/>
  <sheetViews>
    <sheetView tabSelected="1" topLeftCell="A2" zoomScaleNormal="100" workbookViewId="0">
      <selection activeCell="G27" sqref="G27"/>
    </sheetView>
  </sheetViews>
  <sheetFormatPr defaultRowHeight="12.75"/>
  <cols>
    <col min="1" max="1" width="57.42578125" customWidth="1"/>
    <col min="2" max="2" width="13.5703125" style="1" customWidth="1"/>
    <col min="3" max="3" width="13.140625" style="1" hidden="1" customWidth="1"/>
    <col min="4" max="4" width="13.7109375" hidden="1" customWidth="1"/>
    <col min="5" max="5" width="13.7109375" customWidth="1"/>
    <col min="6" max="7" width="13.85546875" customWidth="1"/>
    <col min="8" max="8" width="8.28515625" hidden="1" customWidth="1"/>
    <col min="9" max="9" width="7.42578125" hidden="1" customWidth="1"/>
    <col min="10" max="10" width="13.140625" hidden="1" customWidth="1"/>
    <col min="11" max="11" width="14" customWidth="1"/>
    <col min="12" max="12" width="13.140625" customWidth="1"/>
    <col min="13" max="13" width="13.5703125" customWidth="1"/>
    <col min="14" max="14" width="13.5703125" hidden="1" customWidth="1"/>
    <col min="15" max="15" width="13" hidden="1" customWidth="1"/>
    <col min="16" max="16" width="13.42578125" customWidth="1"/>
    <col min="17" max="17" width="12.42578125" customWidth="1"/>
    <col min="18" max="18" width="12.85546875" customWidth="1"/>
    <col min="19" max="19" width="7.5703125" hidden="1" customWidth="1"/>
    <col min="20" max="20" width="7.140625" hidden="1" customWidth="1"/>
    <col min="21" max="21" width="12.85546875" hidden="1" customWidth="1"/>
    <col min="22" max="22" width="14.42578125" customWidth="1"/>
    <col min="23" max="23" width="13.140625" customWidth="1"/>
    <col min="24" max="24" width="12.7109375" customWidth="1"/>
    <col min="25" max="25" width="13.140625" hidden="1" customWidth="1"/>
    <col min="26" max="26" width="12.85546875" hidden="1" customWidth="1"/>
    <col min="27" max="27" width="13.85546875" customWidth="1"/>
    <col min="28" max="28" width="12.5703125" customWidth="1"/>
    <col min="29" max="29" width="13.28515625" customWidth="1"/>
    <col min="30" max="30" width="7.7109375" hidden="1" customWidth="1"/>
    <col min="31" max="31" width="7.42578125" hidden="1" customWidth="1"/>
    <col min="32" max="32" width="13.140625" hidden="1" customWidth="1"/>
    <col min="33" max="33" width="13.140625" customWidth="1"/>
    <col min="34" max="34" width="11.85546875" customWidth="1"/>
  </cols>
  <sheetData>
    <row r="1" spans="1:34" ht="12.75" hidden="1" customHeight="1">
      <c r="A1" s="306" t="s">
        <v>68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</row>
    <row r="2" spans="1:34" ht="18.75" customHeight="1" thickBo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</row>
    <row r="3" spans="1:34" ht="18" customHeight="1" thickBot="1">
      <c r="A3" s="294" t="s">
        <v>0</v>
      </c>
      <c r="B3" s="290" t="s">
        <v>62</v>
      </c>
      <c r="C3" s="291"/>
      <c r="D3" s="291"/>
      <c r="E3" s="291"/>
      <c r="F3" s="291"/>
      <c r="G3" s="291"/>
      <c r="H3" s="291"/>
      <c r="I3" s="291"/>
      <c r="J3" s="291"/>
      <c r="K3" s="291"/>
      <c r="L3" s="292"/>
      <c r="M3" s="303" t="s">
        <v>31</v>
      </c>
      <c r="N3" s="304"/>
      <c r="O3" s="304"/>
      <c r="P3" s="304"/>
      <c r="Q3" s="304"/>
      <c r="R3" s="304"/>
      <c r="S3" s="304"/>
      <c r="T3" s="304"/>
      <c r="U3" s="304"/>
      <c r="V3" s="304"/>
      <c r="W3" s="305"/>
      <c r="X3" s="300" t="s">
        <v>32</v>
      </c>
      <c r="Y3" s="301"/>
      <c r="Z3" s="301"/>
      <c r="AA3" s="301"/>
      <c r="AB3" s="301"/>
      <c r="AC3" s="301"/>
      <c r="AD3" s="301"/>
      <c r="AE3" s="301"/>
      <c r="AF3" s="301"/>
      <c r="AG3" s="301"/>
      <c r="AH3" s="302"/>
    </row>
    <row r="4" spans="1:34" ht="42" customHeight="1" thickBot="1">
      <c r="A4" s="299"/>
      <c r="B4" s="287" t="s">
        <v>39</v>
      </c>
      <c r="C4" s="220" t="s">
        <v>46</v>
      </c>
      <c r="D4" s="218" t="s">
        <v>47</v>
      </c>
      <c r="E4" s="221" t="s">
        <v>46</v>
      </c>
      <c r="F4" s="287" t="s">
        <v>57</v>
      </c>
      <c r="G4" s="219" t="s">
        <v>66</v>
      </c>
      <c r="H4" s="214" t="s">
        <v>60</v>
      </c>
      <c r="I4" s="214" t="s">
        <v>61</v>
      </c>
      <c r="J4" s="215" t="str">
        <f>U4</f>
        <v>отклон.</v>
      </c>
      <c r="K4" s="222" t="s">
        <v>63</v>
      </c>
      <c r="L4" s="214" t="s">
        <v>67</v>
      </c>
      <c r="M4" s="216" t="str">
        <f>B4</f>
        <v>Утверждено в бюджете</v>
      </c>
      <c r="N4" s="217" t="str">
        <f>Y4</f>
        <v>Уточненный план</v>
      </c>
      <c r="O4" s="222" t="str">
        <f>D4</f>
        <v>План 9 месяцев</v>
      </c>
      <c r="P4" s="212" t="s">
        <v>46</v>
      </c>
      <c r="Q4" s="223" t="s">
        <v>57</v>
      </c>
      <c r="R4" s="224" t="str">
        <f>G4</f>
        <v xml:space="preserve">Факт на 01.07.2016 </v>
      </c>
      <c r="S4" s="214" t="str">
        <f>H4</f>
        <v>% исп-я к утверж.плану</v>
      </c>
      <c r="T4" s="214" t="str">
        <f>I4</f>
        <v>% исп-я к  уточн.плану</v>
      </c>
      <c r="U4" s="213" t="s">
        <v>51</v>
      </c>
      <c r="V4" s="212" t="s">
        <v>63</v>
      </c>
      <c r="W4" s="252" t="s">
        <v>67</v>
      </c>
      <c r="X4" s="216" t="str">
        <f>M4</f>
        <v>Утверждено в бюджете</v>
      </c>
      <c r="Y4" s="217" t="str">
        <f>C4</f>
        <v>Уточненный план</v>
      </c>
      <c r="Z4" s="222" t="str">
        <f>O4</f>
        <v>План 9 месяцев</v>
      </c>
      <c r="AA4" s="214" t="s">
        <v>46</v>
      </c>
      <c r="AB4" s="223" t="s">
        <v>57</v>
      </c>
      <c r="AC4" s="236" t="str">
        <f>R4</f>
        <v xml:space="preserve">Факт на 01.07.2016 </v>
      </c>
      <c r="AD4" s="214" t="str">
        <f>S4</f>
        <v>% исп-я к утверж.плану</v>
      </c>
      <c r="AE4" s="215" t="str">
        <f>T4</f>
        <v>% исп-я к  уточн.плану</v>
      </c>
      <c r="AF4" s="234" t="str">
        <f>U4</f>
        <v>отклон.</v>
      </c>
      <c r="AG4" s="222" t="s">
        <v>64</v>
      </c>
      <c r="AH4" s="212" t="s">
        <v>67</v>
      </c>
    </row>
    <row r="5" spans="1:34" ht="16.5">
      <c r="A5" s="193" t="s">
        <v>1</v>
      </c>
      <c r="B5" s="209">
        <f>B6+B8+B12+B19+B20+B21+B27+B28+B29+B32+B33+B7</f>
        <v>228281542.28000003</v>
      </c>
      <c r="C5" s="210">
        <f>Y5+N5</f>
        <v>308147687.21999997</v>
      </c>
      <c r="D5" s="209">
        <f>D6+D8+D12+D19+D20+D21+D27+D28+D29+D32+D33+D7</f>
        <v>217838733.09999996</v>
      </c>
      <c r="E5" s="209">
        <f>P5+AA5</f>
        <v>256020876.82000002</v>
      </c>
      <c r="F5" s="209">
        <f>Q5+AB5</f>
        <v>130331313.95999999</v>
      </c>
      <c r="G5" s="269">
        <f>R5+AC5</f>
        <v>146900026.96999997</v>
      </c>
      <c r="H5" s="270">
        <f>G5/B5*100</f>
        <v>64.350374324096208</v>
      </c>
      <c r="I5" s="270">
        <f>G5/C5*100</f>
        <v>47.671955060016948</v>
      </c>
      <c r="J5" s="209">
        <f>G5-C5</f>
        <v>-161247660.25</v>
      </c>
      <c r="K5" s="209">
        <f>G5-E5</f>
        <v>-109120849.85000005</v>
      </c>
      <c r="L5" s="209">
        <f>G5-F5</f>
        <v>16568713.009999976</v>
      </c>
      <c r="M5" s="211">
        <f t="shared" ref="M5:R5" si="0">M6+M8+M12+M19+M20+M21+M27+M28+M29+M32+M33+M7</f>
        <v>129446916</v>
      </c>
      <c r="N5" s="211">
        <f t="shared" si="0"/>
        <v>201992479.33999997</v>
      </c>
      <c r="O5" s="211">
        <f t="shared" si="0"/>
        <v>146767134.88999999</v>
      </c>
      <c r="P5" s="211">
        <f t="shared" si="0"/>
        <v>144127216.92000002</v>
      </c>
      <c r="Q5" s="211">
        <f t="shared" si="0"/>
        <v>81252561.420000002</v>
      </c>
      <c r="R5" s="271">
        <f t="shared" si="0"/>
        <v>96001723.75999999</v>
      </c>
      <c r="S5" s="272">
        <f>R5/M5*100</f>
        <v>74.163005752875549</v>
      </c>
      <c r="T5" s="273">
        <f>R5/N5*100</f>
        <v>47.527375313021892</v>
      </c>
      <c r="U5" s="249">
        <f>R5-N5</f>
        <v>-105990755.57999998</v>
      </c>
      <c r="V5" s="249">
        <f>R5-P5</f>
        <v>-48125493.160000026</v>
      </c>
      <c r="W5" s="249">
        <f>R5-Q5</f>
        <v>14749162.339999989</v>
      </c>
      <c r="X5" s="211">
        <f t="shared" ref="X5:AC5" si="1">X6+X8+X12+X19+X20+X21+X27+X28+X29+X32+X33+X7</f>
        <v>98834626.280000001</v>
      </c>
      <c r="Y5" s="211">
        <f t="shared" si="1"/>
        <v>106155207.88</v>
      </c>
      <c r="Z5" s="211">
        <f t="shared" si="1"/>
        <v>71071598.210000008</v>
      </c>
      <c r="AA5" s="211">
        <f t="shared" si="1"/>
        <v>111893659.90000001</v>
      </c>
      <c r="AB5" s="211">
        <f t="shared" si="1"/>
        <v>49078752.539999992</v>
      </c>
      <c r="AC5" s="271">
        <f t="shared" si="1"/>
        <v>50898303.209999993</v>
      </c>
      <c r="AD5" s="274">
        <f>AC5/X5*100</f>
        <v>51.498452643311801</v>
      </c>
      <c r="AE5" s="274">
        <f>AC5/Y5*100</f>
        <v>47.947061878995584</v>
      </c>
      <c r="AF5" s="250">
        <f>AC5-Y5</f>
        <v>-55256904.670000002</v>
      </c>
      <c r="AG5" s="250">
        <f>AC5-AA5</f>
        <v>-60995356.690000013</v>
      </c>
      <c r="AH5" s="251">
        <f>AC5-AB5</f>
        <v>1819550.6700000018</v>
      </c>
    </row>
    <row r="6" spans="1:34" ht="16.5">
      <c r="A6" s="194" t="s">
        <v>28</v>
      </c>
      <c r="B6" s="201">
        <f>M6+X6</f>
        <v>91398621</v>
      </c>
      <c r="C6" s="191">
        <f t="shared" ref="C6:C38" si="2">Y6+N6</f>
        <v>88431345.150000006</v>
      </c>
      <c r="D6" s="202">
        <f>O6+Z6</f>
        <v>66101880.07</v>
      </c>
      <c r="E6" s="201">
        <f t="shared" ref="E6:E38" si="3">P6+AA6</f>
        <v>91380741</v>
      </c>
      <c r="F6" s="201">
        <f t="shared" ref="F6:F37" si="4">Q6+AB6</f>
        <v>45314262.5</v>
      </c>
      <c r="G6" s="265">
        <f t="shared" ref="G6:G38" si="5">R6+AC6</f>
        <v>46783704.109999999</v>
      </c>
      <c r="H6" s="266">
        <f t="shared" ref="H6:H38" si="6">G6/B6*100</f>
        <v>51.186444169655466</v>
      </c>
      <c r="I6" s="266">
        <f t="shared" ref="I6:I38" si="7">G6/C6*100</f>
        <v>52.903983345095583</v>
      </c>
      <c r="J6" s="201">
        <f t="shared" ref="J6:J38" si="8">G6-C6</f>
        <v>-41647641.040000007</v>
      </c>
      <c r="K6" s="201">
        <f t="shared" ref="K6:K37" si="9">G6-E6</f>
        <v>-44597036.890000001</v>
      </c>
      <c r="L6" s="201">
        <f t="shared" ref="L6:L38" si="10">G6-F6</f>
        <v>1469441.6099999994</v>
      </c>
      <c r="M6" s="172">
        <v>66655658</v>
      </c>
      <c r="N6" s="185">
        <v>63816129</v>
      </c>
      <c r="O6" s="186">
        <v>48314259</v>
      </c>
      <c r="P6" s="186">
        <v>66655658</v>
      </c>
      <c r="Q6" s="186">
        <v>32818644</v>
      </c>
      <c r="R6" s="259">
        <v>34161471.5</v>
      </c>
      <c r="S6" s="267">
        <f t="shared" ref="S6:S38" si="11">R6/M6*100</f>
        <v>51.250670273182209</v>
      </c>
      <c r="T6" s="192">
        <f>R6/N6*100</f>
        <v>53.531093213127988</v>
      </c>
      <c r="U6" s="186">
        <f t="shared" ref="U6:U38" si="12">R6-N6</f>
        <v>-29654657.5</v>
      </c>
      <c r="V6" s="186">
        <f t="shared" ref="V6:V38" si="13">R6-P6</f>
        <v>-32494186.5</v>
      </c>
      <c r="W6" s="186">
        <f t="shared" ref="W6:W38" si="14">R6-Q6</f>
        <v>1342827.5</v>
      </c>
      <c r="X6" s="172">
        <v>24742963</v>
      </c>
      <c r="Y6" s="173">
        <v>24615216.149999999</v>
      </c>
      <c r="Z6" s="174">
        <v>17787621.07</v>
      </c>
      <c r="AA6" s="174">
        <v>24725083</v>
      </c>
      <c r="AB6" s="174">
        <v>12495618.5</v>
      </c>
      <c r="AC6" s="259">
        <v>12622232.609999999</v>
      </c>
      <c r="AD6" s="258">
        <f t="shared" ref="AD6:AD25" si="15">AC6/X6*100</f>
        <v>51.01342393794954</v>
      </c>
      <c r="AE6" s="258">
        <f t="shared" ref="AE6:AE38" si="16">AC6/Y6*100</f>
        <v>51.278170921119461</v>
      </c>
      <c r="AF6" s="235">
        <f t="shared" ref="AF6:AF38" si="17">AC6-Y6</f>
        <v>-11992983.539999999</v>
      </c>
      <c r="AG6" s="235">
        <f t="shared" ref="AG6:AG38" si="18">AC6-AA6</f>
        <v>-12102850.390000001</v>
      </c>
      <c r="AH6" s="246">
        <f t="shared" ref="AH6:AH38" si="19">AC6-AB6</f>
        <v>126614.1099999994</v>
      </c>
    </row>
    <row r="7" spans="1:34" ht="16.5">
      <c r="A7" s="194" t="s">
        <v>45</v>
      </c>
      <c r="B7" s="201">
        <f>M7+X7</f>
        <v>33669173.390000001</v>
      </c>
      <c r="C7" s="191">
        <f t="shared" si="2"/>
        <v>26846284.82</v>
      </c>
      <c r="D7" s="202">
        <f>O7+Z7</f>
        <v>20068201.310000002</v>
      </c>
      <c r="E7" s="201">
        <f t="shared" si="3"/>
        <v>33635970.57</v>
      </c>
      <c r="F7" s="201">
        <f t="shared" si="4"/>
        <v>15798663.9</v>
      </c>
      <c r="G7" s="265">
        <f t="shared" si="5"/>
        <v>16317196.970000001</v>
      </c>
      <c r="H7" s="266">
        <f t="shared" si="6"/>
        <v>48.46331325391651</v>
      </c>
      <c r="I7" s="266">
        <f t="shared" si="7"/>
        <v>60.78009333285469</v>
      </c>
      <c r="J7" s="201">
        <f t="shared" si="8"/>
        <v>-10529087.85</v>
      </c>
      <c r="K7" s="201">
        <f t="shared" si="9"/>
        <v>-17318773.600000001</v>
      </c>
      <c r="L7" s="201">
        <f t="shared" si="10"/>
        <v>518533.0700000003</v>
      </c>
      <c r="M7" s="172">
        <v>14324286</v>
      </c>
      <c r="N7" s="185">
        <v>11319566</v>
      </c>
      <c r="O7" s="186">
        <v>8489676</v>
      </c>
      <c r="P7" s="186">
        <v>14324286</v>
      </c>
      <c r="Q7" s="186">
        <v>6755117</v>
      </c>
      <c r="R7" s="259">
        <v>6723994.9199999999</v>
      </c>
      <c r="S7" s="267">
        <f t="shared" si="11"/>
        <v>46.941222201232229</v>
      </c>
      <c r="T7" s="192">
        <f t="shared" ref="T7:T12" si="20">R7/N7*100</f>
        <v>59.401525818215994</v>
      </c>
      <c r="U7" s="186">
        <f t="shared" si="12"/>
        <v>-4595571.08</v>
      </c>
      <c r="V7" s="186">
        <f t="shared" si="13"/>
        <v>-7600291.0800000001</v>
      </c>
      <c r="W7" s="186">
        <f t="shared" si="14"/>
        <v>-31122.080000000075</v>
      </c>
      <c r="X7" s="172">
        <v>19344887.390000001</v>
      </c>
      <c r="Y7" s="173">
        <v>15526718.82</v>
      </c>
      <c r="Z7" s="174">
        <v>11578525.310000001</v>
      </c>
      <c r="AA7" s="174">
        <v>19311684.57</v>
      </c>
      <c r="AB7" s="174">
        <v>9043546.9000000004</v>
      </c>
      <c r="AC7" s="259">
        <v>9593202.0500000007</v>
      </c>
      <c r="AD7" s="258">
        <f t="shared" si="15"/>
        <v>49.590374224452901</v>
      </c>
      <c r="AE7" s="258">
        <f t="shared" si="16"/>
        <v>61.78512125590229</v>
      </c>
      <c r="AF7" s="235">
        <f t="shared" si="17"/>
        <v>-5933516.7699999996</v>
      </c>
      <c r="AG7" s="235">
        <f t="shared" si="18"/>
        <v>-9718482.5199999996</v>
      </c>
      <c r="AH7" s="246">
        <f t="shared" si="19"/>
        <v>549655.15000000037</v>
      </c>
    </row>
    <row r="8" spans="1:34" ht="16.5">
      <c r="A8" s="194" t="s">
        <v>2</v>
      </c>
      <c r="B8" s="201">
        <f>B9+B11+B10</f>
        <v>11506901</v>
      </c>
      <c r="C8" s="191">
        <f t="shared" si="2"/>
        <v>18597052.189999998</v>
      </c>
      <c r="D8" s="202">
        <f>D9+D11+D10</f>
        <v>14485858.5</v>
      </c>
      <c r="E8" s="201">
        <f t="shared" si="3"/>
        <v>18783883.579999998</v>
      </c>
      <c r="F8" s="201">
        <f t="shared" si="4"/>
        <v>13204363.58</v>
      </c>
      <c r="G8" s="265">
        <f t="shared" si="5"/>
        <v>13611614.140000001</v>
      </c>
      <c r="H8" s="266">
        <f t="shared" si="6"/>
        <v>118.29087727442862</v>
      </c>
      <c r="I8" s="266">
        <f t="shared" si="7"/>
        <v>73.192321024507507</v>
      </c>
      <c r="J8" s="201">
        <f t="shared" si="8"/>
        <v>-4985438.049999997</v>
      </c>
      <c r="K8" s="201">
        <f t="shared" si="9"/>
        <v>-5172269.4399999976</v>
      </c>
      <c r="L8" s="201">
        <f t="shared" si="10"/>
        <v>407250.56000000052</v>
      </c>
      <c r="M8" s="172">
        <f t="shared" ref="M8:R8" si="21">M9+M11+M10</f>
        <v>10211417</v>
      </c>
      <c r="N8" s="184">
        <f t="shared" si="21"/>
        <v>10246152.67</v>
      </c>
      <c r="O8" s="184">
        <f t="shared" si="21"/>
        <v>7191936</v>
      </c>
      <c r="P8" s="184">
        <f t="shared" si="21"/>
        <v>10211417</v>
      </c>
      <c r="Q8" s="184">
        <f t="shared" si="21"/>
        <v>5018723</v>
      </c>
      <c r="R8" s="257">
        <f t="shared" si="21"/>
        <v>5198610.46</v>
      </c>
      <c r="S8" s="267">
        <f t="shared" si="11"/>
        <v>50.909785194356473</v>
      </c>
      <c r="T8" s="192">
        <f t="shared" si="20"/>
        <v>50.737194998286114</v>
      </c>
      <c r="U8" s="186">
        <f t="shared" si="12"/>
        <v>-5047542.21</v>
      </c>
      <c r="V8" s="186">
        <f t="shared" si="13"/>
        <v>-5012806.54</v>
      </c>
      <c r="W8" s="186">
        <f t="shared" si="14"/>
        <v>179887.45999999996</v>
      </c>
      <c r="X8" s="172">
        <f t="shared" ref="X8:AC8" si="22">X9+X11</f>
        <v>1295484</v>
      </c>
      <c r="Y8" s="172">
        <f t="shared" si="22"/>
        <v>8350899.5199999996</v>
      </c>
      <c r="Z8" s="172">
        <f t="shared" si="22"/>
        <v>7293922.5</v>
      </c>
      <c r="AA8" s="172">
        <f t="shared" si="22"/>
        <v>8572466.5800000001</v>
      </c>
      <c r="AB8" s="172">
        <f t="shared" si="22"/>
        <v>8185640.5800000001</v>
      </c>
      <c r="AC8" s="257">
        <f t="shared" si="22"/>
        <v>8413003.6799999997</v>
      </c>
      <c r="AD8" s="258">
        <f t="shared" si="15"/>
        <v>649.41007993923506</v>
      </c>
      <c r="AE8" s="258">
        <f t="shared" si="16"/>
        <v>100.74368228058863</v>
      </c>
      <c r="AF8" s="235">
        <f t="shared" si="17"/>
        <v>62104.160000000149</v>
      </c>
      <c r="AG8" s="235">
        <f t="shared" si="18"/>
        <v>-159462.90000000037</v>
      </c>
      <c r="AH8" s="246">
        <f t="shared" si="19"/>
        <v>227363.09999999963</v>
      </c>
    </row>
    <row r="9" spans="1:34" ht="16.5">
      <c r="A9" s="195" t="s">
        <v>3</v>
      </c>
      <c r="B9" s="203">
        <f>M9+X9</f>
        <v>10096004</v>
      </c>
      <c r="C9" s="191">
        <f t="shared" si="2"/>
        <v>9989400.6699999999</v>
      </c>
      <c r="D9" s="180">
        <f>O9+Z9</f>
        <v>7048154</v>
      </c>
      <c r="E9" s="203">
        <f t="shared" si="3"/>
        <v>10096004</v>
      </c>
      <c r="F9" s="203">
        <f t="shared" si="4"/>
        <v>4982945</v>
      </c>
      <c r="G9" s="264">
        <f t="shared" si="5"/>
        <v>5042615.47</v>
      </c>
      <c r="H9" s="266">
        <f t="shared" si="6"/>
        <v>49.946646910995675</v>
      </c>
      <c r="I9" s="268">
        <f t="shared" si="7"/>
        <v>50.479659757205432</v>
      </c>
      <c r="J9" s="201">
        <f t="shared" si="8"/>
        <v>-4946785.2</v>
      </c>
      <c r="K9" s="203">
        <f t="shared" si="9"/>
        <v>-5053388.53</v>
      </c>
      <c r="L9" s="203">
        <f t="shared" si="10"/>
        <v>59670.469999999739</v>
      </c>
      <c r="M9" s="176">
        <v>10096004</v>
      </c>
      <c r="N9" s="177">
        <v>9989400.6699999999</v>
      </c>
      <c r="O9" s="188">
        <v>7048154</v>
      </c>
      <c r="P9" s="188">
        <v>10096004</v>
      </c>
      <c r="Q9" s="175">
        <v>4982945</v>
      </c>
      <c r="R9" s="262">
        <v>5042615.47</v>
      </c>
      <c r="S9" s="267">
        <f t="shared" si="11"/>
        <v>49.946646910995675</v>
      </c>
      <c r="T9" s="192">
        <f t="shared" si="20"/>
        <v>50.479659757205432</v>
      </c>
      <c r="U9" s="186">
        <f t="shared" si="12"/>
        <v>-4946785.2</v>
      </c>
      <c r="V9" s="175">
        <f t="shared" si="13"/>
        <v>-5053388.53</v>
      </c>
      <c r="W9" s="175">
        <f t="shared" si="14"/>
        <v>59670.469999999739</v>
      </c>
      <c r="X9" s="176">
        <v>0</v>
      </c>
      <c r="Y9" s="173">
        <v>0</v>
      </c>
      <c r="Z9" s="175">
        <v>0</v>
      </c>
      <c r="AA9" s="175"/>
      <c r="AB9" s="175">
        <v>0</v>
      </c>
      <c r="AC9" s="260">
        <v>0</v>
      </c>
      <c r="AD9" s="258"/>
      <c r="AE9" s="261"/>
      <c r="AF9" s="235">
        <f t="shared" si="17"/>
        <v>0</v>
      </c>
      <c r="AG9" s="237">
        <f t="shared" si="18"/>
        <v>0</v>
      </c>
      <c r="AH9" s="247">
        <f t="shared" si="19"/>
        <v>0</v>
      </c>
    </row>
    <row r="10" spans="1:34" ht="16.5">
      <c r="A10" s="195" t="s">
        <v>35</v>
      </c>
      <c r="B10" s="203">
        <f>M10+X10</f>
        <v>115413</v>
      </c>
      <c r="C10" s="191">
        <f t="shared" si="2"/>
        <v>256752</v>
      </c>
      <c r="D10" s="180">
        <f>O10+Z10</f>
        <v>143782</v>
      </c>
      <c r="E10" s="203">
        <f t="shared" si="3"/>
        <v>115413</v>
      </c>
      <c r="F10" s="203">
        <f t="shared" si="4"/>
        <v>35778</v>
      </c>
      <c r="G10" s="264">
        <f t="shared" si="5"/>
        <v>155994.99</v>
      </c>
      <c r="H10" s="266">
        <f t="shared" si="6"/>
        <v>135.16240804762026</v>
      </c>
      <c r="I10" s="268">
        <f t="shared" si="7"/>
        <v>60.757069078332393</v>
      </c>
      <c r="J10" s="201">
        <f t="shared" si="8"/>
        <v>-100757.01000000001</v>
      </c>
      <c r="K10" s="203">
        <f t="shared" si="9"/>
        <v>40581.989999999991</v>
      </c>
      <c r="L10" s="203">
        <f t="shared" si="10"/>
        <v>120216.98999999999</v>
      </c>
      <c r="M10" s="176">
        <v>115413</v>
      </c>
      <c r="N10" s="177">
        <v>256752</v>
      </c>
      <c r="O10" s="188">
        <v>143782</v>
      </c>
      <c r="P10" s="188">
        <v>115413</v>
      </c>
      <c r="Q10" s="175">
        <v>35778</v>
      </c>
      <c r="R10" s="262">
        <v>155994.99</v>
      </c>
      <c r="S10" s="267">
        <f t="shared" si="11"/>
        <v>135.16240804762026</v>
      </c>
      <c r="T10" s="192">
        <f t="shared" si="20"/>
        <v>60.757069078332393</v>
      </c>
      <c r="U10" s="186">
        <f t="shared" si="12"/>
        <v>-100757.01000000001</v>
      </c>
      <c r="V10" s="175">
        <f t="shared" si="13"/>
        <v>40581.989999999991</v>
      </c>
      <c r="W10" s="175">
        <f t="shared" si="14"/>
        <v>120216.98999999999</v>
      </c>
      <c r="X10" s="172"/>
      <c r="Y10" s="173">
        <f>X10</f>
        <v>0</v>
      </c>
      <c r="Z10" s="175"/>
      <c r="AA10" s="175"/>
      <c r="AB10" s="175">
        <v>0</v>
      </c>
      <c r="AC10" s="260">
        <v>0</v>
      </c>
      <c r="AD10" s="258"/>
      <c r="AE10" s="261"/>
      <c r="AF10" s="235">
        <f t="shared" si="17"/>
        <v>0</v>
      </c>
      <c r="AG10" s="237">
        <f t="shared" si="18"/>
        <v>0</v>
      </c>
      <c r="AH10" s="247">
        <f t="shared" si="19"/>
        <v>0</v>
      </c>
    </row>
    <row r="11" spans="1:34" ht="16.5">
      <c r="A11" s="195" t="s">
        <v>29</v>
      </c>
      <c r="B11" s="203">
        <f>M11+X11</f>
        <v>1295484</v>
      </c>
      <c r="C11" s="191">
        <f t="shared" si="2"/>
        <v>8350899.5199999996</v>
      </c>
      <c r="D11" s="180">
        <f>O11+Z11</f>
        <v>7293922.5</v>
      </c>
      <c r="E11" s="203">
        <f t="shared" si="3"/>
        <v>8572466.5800000001</v>
      </c>
      <c r="F11" s="203">
        <f t="shared" si="4"/>
        <v>8185640.5800000001</v>
      </c>
      <c r="G11" s="264">
        <f t="shared" si="5"/>
        <v>8413003.6799999997</v>
      </c>
      <c r="H11" s="266">
        <f t="shared" si="6"/>
        <v>649.41007993923506</v>
      </c>
      <c r="I11" s="268">
        <f t="shared" si="7"/>
        <v>100.74368228058863</v>
      </c>
      <c r="J11" s="201">
        <f t="shared" si="8"/>
        <v>62104.160000000149</v>
      </c>
      <c r="K11" s="203">
        <f t="shared" si="9"/>
        <v>-159462.90000000037</v>
      </c>
      <c r="L11" s="203">
        <f t="shared" si="10"/>
        <v>227363.09999999963</v>
      </c>
      <c r="M11" s="187">
        <v>0</v>
      </c>
      <c r="N11" s="189">
        <v>0</v>
      </c>
      <c r="O11" s="188">
        <v>0</v>
      </c>
      <c r="P11" s="188"/>
      <c r="Q11" s="188"/>
      <c r="R11" s="260"/>
      <c r="S11" s="267"/>
      <c r="T11" s="192"/>
      <c r="U11" s="186">
        <f t="shared" si="12"/>
        <v>0</v>
      </c>
      <c r="V11" s="175">
        <f t="shared" si="13"/>
        <v>0</v>
      </c>
      <c r="W11" s="175">
        <f t="shared" si="14"/>
        <v>0</v>
      </c>
      <c r="X11" s="176">
        <v>1295484</v>
      </c>
      <c r="Y11" s="177">
        <v>8350899.5199999996</v>
      </c>
      <c r="Z11" s="178">
        <v>7293922.5</v>
      </c>
      <c r="AA11" s="178">
        <v>8572466.5800000001</v>
      </c>
      <c r="AB11" s="178">
        <v>8185640.5800000001</v>
      </c>
      <c r="AC11" s="262">
        <v>8413003.6799999997</v>
      </c>
      <c r="AD11" s="258">
        <f t="shared" si="15"/>
        <v>649.41007993923506</v>
      </c>
      <c r="AE11" s="261">
        <f t="shared" si="16"/>
        <v>100.74368228058863</v>
      </c>
      <c r="AF11" s="235">
        <f t="shared" si="17"/>
        <v>62104.160000000149</v>
      </c>
      <c r="AG11" s="237">
        <f t="shared" si="18"/>
        <v>-159462.90000000037</v>
      </c>
      <c r="AH11" s="247">
        <f t="shared" si="19"/>
        <v>227363.09999999963</v>
      </c>
    </row>
    <row r="12" spans="1:34" ht="16.5">
      <c r="A12" s="194" t="s">
        <v>4</v>
      </c>
      <c r="B12" s="201">
        <f>B13+B14+B15+B16</f>
        <v>66016001</v>
      </c>
      <c r="C12" s="191">
        <f t="shared" si="2"/>
        <v>66636985.289999999</v>
      </c>
      <c r="D12" s="202">
        <f>D13+D14+D15+D16</f>
        <v>38470282.219999999</v>
      </c>
      <c r="E12" s="201">
        <f t="shared" si="3"/>
        <v>69054165.329999998</v>
      </c>
      <c r="F12" s="201">
        <f t="shared" si="4"/>
        <v>18253735.329999998</v>
      </c>
      <c r="G12" s="265">
        <f t="shared" si="5"/>
        <v>17672118.419999998</v>
      </c>
      <c r="H12" s="266">
        <f t="shared" si="6"/>
        <v>26.769447031485594</v>
      </c>
      <c r="I12" s="266">
        <f t="shared" si="7"/>
        <v>26.51998487490399</v>
      </c>
      <c r="J12" s="201">
        <f t="shared" si="8"/>
        <v>-48964866.870000005</v>
      </c>
      <c r="K12" s="201">
        <f t="shared" si="9"/>
        <v>-51382046.909999996</v>
      </c>
      <c r="L12" s="201">
        <f t="shared" si="10"/>
        <v>-581616.91000000015</v>
      </c>
      <c r="M12" s="172">
        <f t="shared" ref="M12:R12" si="23">M13+M14+M15+M16</f>
        <v>16830066</v>
      </c>
      <c r="N12" s="172">
        <f t="shared" si="23"/>
        <v>18422976</v>
      </c>
      <c r="O12" s="172">
        <f t="shared" si="23"/>
        <v>9348126</v>
      </c>
      <c r="P12" s="172">
        <f t="shared" si="23"/>
        <v>16830066</v>
      </c>
      <c r="Q12" s="172">
        <f t="shared" si="23"/>
        <v>3380709</v>
      </c>
      <c r="R12" s="257">
        <f t="shared" si="23"/>
        <v>2544136.88</v>
      </c>
      <c r="S12" s="267">
        <f t="shared" si="11"/>
        <v>15.116618556338398</v>
      </c>
      <c r="T12" s="192">
        <f t="shared" si="20"/>
        <v>13.809586898446808</v>
      </c>
      <c r="U12" s="186">
        <f t="shared" si="12"/>
        <v>-15878839.120000001</v>
      </c>
      <c r="V12" s="186">
        <f t="shared" si="13"/>
        <v>-14285929.120000001</v>
      </c>
      <c r="W12" s="186">
        <f t="shared" si="14"/>
        <v>-836572.12000000011</v>
      </c>
      <c r="X12" s="172">
        <f t="shared" ref="X12:AC12" si="24">X13+X14+X15+X16</f>
        <v>49185935</v>
      </c>
      <c r="Y12" s="172">
        <f t="shared" si="24"/>
        <v>48214009.289999999</v>
      </c>
      <c r="Z12" s="172">
        <f t="shared" si="24"/>
        <v>29122156.220000003</v>
      </c>
      <c r="AA12" s="172">
        <f t="shared" si="24"/>
        <v>52224099.329999998</v>
      </c>
      <c r="AB12" s="172">
        <f t="shared" si="24"/>
        <v>14873026.329999998</v>
      </c>
      <c r="AC12" s="257">
        <f t="shared" si="24"/>
        <v>15127981.539999999</v>
      </c>
      <c r="AD12" s="258">
        <f t="shared" si="15"/>
        <v>30.756722506139202</v>
      </c>
      <c r="AE12" s="258">
        <f t="shared" si="16"/>
        <v>31.376734195672196</v>
      </c>
      <c r="AF12" s="235">
        <f t="shared" si="17"/>
        <v>-33086027.75</v>
      </c>
      <c r="AG12" s="235">
        <f t="shared" si="18"/>
        <v>-37096117.789999999</v>
      </c>
      <c r="AH12" s="246">
        <f t="shared" si="19"/>
        <v>254955.21000000089</v>
      </c>
    </row>
    <row r="13" spans="1:34" ht="16.5">
      <c r="A13" s="195" t="s">
        <v>30</v>
      </c>
      <c r="B13" s="203">
        <f>M13+X13</f>
        <v>5804042</v>
      </c>
      <c r="C13" s="191">
        <f t="shared" si="2"/>
        <v>5258225.0199999996</v>
      </c>
      <c r="D13" s="180">
        <f>O13+Z13</f>
        <v>3023963.1</v>
      </c>
      <c r="E13" s="203">
        <f t="shared" si="3"/>
        <v>5804042</v>
      </c>
      <c r="F13" s="203">
        <f t="shared" si="4"/>
        <v>498978</v>
      </c>
      <c r="G13" s="264">
        <f t="shared" si="5"/>
        <v>316306.69</v>
      </c>
      <c r="H13" s="266">
        <f t="shared" si="6"/>
        <v>5.4497656977671767</v>
      </c>
      <c r="I13" s="268">
        <f t="shared" si="7"/>
        <v>6.0154650817891406</v>
      </c>
      <c r="J13" s="201">
        <f t="shared" si="8"/>
        <v>-4941918.3299999991</v>
      </c>
      <c r="K13" s="203">
        <f t="shared" si="9"/>
        <v>-5487735.3099999996</v>
      </c>
      <c r="L13" s="203">
        <f t="shared" si="10"/>
        <v>-182671.31</v>
      </c>
      <c r="M13" s="187">
        <f>O13+R13+S13+T13</f>
        <v>0</v>
      </c>
      <c r="N13" s="189"/>
      <c r="O13" s="188">
        <v>0</v>
      </c>
      <c r="P13" s="188"/>
      <c r="Q13" s="188"/>
      <c r="R13" s="260"/>
      <c r="S13" s="267"/>
      <c r="T13" s="192">
        <v>0</v>
      </c>
      <c r="U13" s="186">
        <f t="shared" si="12"/>
        <v>0</v>
      </c>
      <c r="V13" s="175">
        <f t="shared" si="13"/>
        <v>0</v>
      </c>
      <c r="W13" s="175">
        <f t="shared" si="14"/>
        <v>0</v>
      </c>
      <c r="X13" s="176">
        <v>5804042</v>
      </c>
      <c r="Y13" s="177">
        <v>5258225.0199999996</v>
      </c>
      <c r="Z13" s="178">
        <v>3023963.1</v>
      </c>
      <c r="AA13" s="178">
        <v>5804042</v>
      </c>
      <c r="AB13" s="178">
        <v>498978</v>
      </c>
      <c r="AC13" s="262">
        <v>316306.69</v>
      </c>
      <c r="AD13" s="258">
        <f t="shared" si="15"/>
        <v>5.4497656977671767</v>
      </c>
      <c r="AE13" s="261">
        <f t="shared" si="16"/>
        <v>6.0154650817891406</v>
      </c>
      <c r="AF13" s="235">
        <f t="shared" si="17"/>
        <v>-4941918.3299999991</v>
      </c>
      <c r="AG13" s="237">
        <f t="shared" si="18"/>
        <v>-5487735.3099999996</v>
      </c>
      <c r="AH13" s="247">
        <f t="shared" si="19"/>
        <v>-182671.31</v>
      </c>
    </row>
    <row r="14" spans="1:34" ht="16.5">
      <c r="A14" s="195" t="s">
        <v>5</v>
      </c>
      <c r="B14" s="203">
        <f>M14+X14</f>
        <v>26604156</v>
      </c>
      <c r="C14" s="191">
        <f t="shared" si="2"/>
        <v>25927942.879999999</v>
      </c>
      <c r="D14" s="180">
        <f>O14+Z14</f>
        <v>16554726.75</v>
      </c>
      <c r="E14" s="203">
        <f t="shared" si="3"/>
        <v>29640757.780000001</v>
      </c>
      <c r="F14" s="203">
        <f t="shared" si="4"/>
        <v>11774505.779999999</v>
      </c>
      <c r="G14" s="264">
        <f t="shared" si="5"/>
        <v>12267535.289999999</v>
      </c>
      <c r="H14" s="266">
        <f t="shared" si="6"/>
        <v>46.111349256860464</v>
      </c>
      <c r="I14" s="268">
        <f t="shared" si="7"/>
        <v>47.313955244258082</v>
      </c>
      <c r="J14" s="201">
        <f t="shared" si="8"/>
        <v>-13660407.59</v>
      </c>
      <c r="K14" s="203">
        <f t="shared" si="9"/>
        <v>-17373222.490000002</v>
      </c>
      <c r="L14" s="203">
        <f t="shared" si="10"/>
        <v>493029.50999999978</v>
      </c>
      <c r="M14" s="187">
        <f>O14+R14+S14+T14</f>
        <v>0</v>
      </c>
      <c r="N14" s="189"/>
      <c r="O14" s="188">
        <v>0</v>
      </c>
      <c r="P14" s="188"/>
      <c r="Q14" s="188"/>
      <c r="R14" s="260"/>
      <c r="S14" s="267"/>
      <c r="T14" s="192">
        <v>0</v>
      </c>
      <c r="U14" s="186">
        <f t="shared" si="12"/>
        <v>0</v>
      </c>
      <c r="V14" s="175">
        <f t="shared" si="13"/>
        <v>0</v>
      </c>
      <c r="W14" s="175">
        <f t="shared" si="14"/>
        <v>0</v>
      </c>
      <c r="X14" s="176">
        <v>26604156</v>
      </c>
      <c r="Y14" s="177">
        <v>25927942.879999999</v>
      </c>
      <c r="Z14" s="178">
        <v>16554726.75</v>
      </c>
      <c r="AA14" s="178">
        <v>29640757.780000001</v>
      </c>
      <c r="AB14" s="178">
        <v>11774505.779999999</v>
      </c>
      <c r="AC14" s="262">
        <v>12267535.289999999</v>
      </c>
      <c r="AD14" s="258">
        <f t="shared" si="15"/>
        <v>46.111349256860464</v>
      </c>
      <c r="AE14" s="261">
        <f t="shared" si="16"/>
        <v>47.313955244258082</v>
      </c>
      <c r="AF14" s="235">
        <f t="shared" si="17"/>
        <v>-13660407.59</v>
      </c>
      <c r="AG14" s="237">
        <f t="shared" si="18"/>
        <v>-17373222.490000002</v>
      </c>
      <c r="AH14" s="247">
        <f t="shared" si="19"/>
        <v>493029.50999999978</v>
      </c>
    </row>
    <row r="15" spans="1:34" ht="16.5">
      <c r="A15" s="195" t="s">
        <v>6</v>
      </c>
      <c r="B15" s="203">
        <f>M15+X15</f>
        <v>0</v>
      </c>
      <c r="C15" s="191">
        <f t="shared" si="2"/>
        <v>0</v>
      </c>
      <c r="D15" s="180">
        <f>O15+Z15</f>
        <v>0</v>
      </c>
      <c r="E15" s="203">
        <f t="shared" si="3"/>
        <v>0</v>
      </c>
      <c r="F15" s="203">
        <f t="shared" si="4"/>
        <v>0</v>
      </c>
      <c r="G15" s="264">
        <f t="shared" si="5"/>
        <v>0</v>
      </c>
      <c r="H15" s="266"/>
      <c r="I15" s="268"/>
      <c r="J15" s="201">
        <f t="shared" si="8"/>
        <v>0</v>
      </c>
      <c r="K15" s="203">
        <f t="shared" si="9"/>
        <v>0</v>
      </c>
      <c r="L15" s="203">
        <f t="shared" si="10"/>
        <v>0</v>
      </c>
      <c r="M15" s="187">
        <v>0</v>
      </c>
      <c r="N15" s="189">
        <v>0</v>
      </c>
      <c r="O15" s="188">
        <v>0</v>
      </c>
      <c r="P15" s="188"/>
      <c r="Q15" s="188"/>
      <c r="R15" s="260"/>
      <c r="S15" s="267"/>
      <c r="T15" s="192"/>
      <c r="U15" s="186">
        <f t="shared" si="12"/>
        <v>0</v>
      </c>
      <c r="V15" s="175">
        <f t="shared" si="13"/>
        <v>0</v>
      </c>
      <c r="W15" s="175">
        <f t="shared" si="14"/>
        <v>0</v>
      </c>
      <c r="X15" s="176"/>
      <c r="Y15" s="173"/>
      <c r="Z15" s="175"/>
      <c r="AA15" s="175"/>
      <c r="AB15" s="175"/>
      <c r="AC15" s="260"/>
      <c r="AD15" s="258"/>
      <c r="AE15" s="258"/>
      <c r="AF15" s="235">
        <f t="shared" si="17"/>
        <v>0</v>
      </c>
      <c r="AG15" s="237">
        <f t="shared" si="18"/>
        <v>0</v>
      </c>
      <c r="AH15" s="247">
        <f t="shared" si="19"/>
        <v>0</v>
      </c>
    </row>
    <row r="16" spans="1:34" ht="16.5">
      <c r="A16" s="194" t="s">
        <v>7</v>
      </c>
      <c r="B16" s="201">
        <f>B17+B18</f>
        <v>33607803</v>
      </c>
      <c r="C16" s="191">
        <f t="shared" si="2"/>
        <v>35450817.390000001</v>
      </c>
      <c r="D16" s="202">
        <f>D17+D18</f>
        <v>18891592.370000001</v>
      </c>
      <c r="E16" s="201">
        <f t="shared" si="3"/>
        <v>33609365.549999997</v>
      </c>
      <c r="F16" s="201">
        <f t="shared" si="4"/>
        <v>5980251.5499999998</v>
      </c>
      <c r="G16" s="265">
        <f t="shared" si="5"/>
        <v>5088276.4399999995</v>
      </c>
      <c r="H16" s="266">
        <f t="shared" si="6"/>
        <v>15.140163848258689</v>
      </c>
      <c r="I16" s="266">
        <f t="shared" si="7"/>
        <v>14.353058165127965</v>
      </c>
      <c r="J16" s="201">
        <f t="shared" si="8"/>
        <v>-30362540.950000003</v>
      </c>
      <c r="K16" s="201">
        <f t="shared" si="9"/>
        <v>-28521089.109999999</v>
      </c>
      <c r="L16" s="201">
        <f t="shared" si="10"/>
        <v>-891975.11000000034</v>
      </c>
      <c r="M16" s="172">
        <f t="shared" ref="M16:R16" si="25">M17+M18</f>
        <v>16830066</v>
      </c>
      <c r="N16" s="172">
        <f t="shared" si="25"/>
        <v>18422976</v>
      </c>
      <c r="O16" s="172">
        <f t="shared" si="25"/>
        <v>9348126</v>
      </c>
      <c r="P16" s="172">
        <f t="shared" si="25"/>
        <v>16830066</v>
      </c>
      <c r="Q16" s="172">
        <f t="shared" si="25"/>
        <v>3380709</v>
      </c>
      <c r="R16" s="257">
        <f t="shared" si="25"/>
        <v>2544136.88</v>
      </c>
      <c r="S16" s="267">
        <f t="shared" si="11"/>
        <v>15.116618556338398</v>
      </c>
      <c r="T16" s="192">
        <f>R16/N16*100</f>
        <v>13.809586898446808</v>
      </c>
      <c r="U16" s="186">
        <f t="shared" si="12"/>
        <v>-15878839.120000001</v>
      </c>
      <c r="V16" s="186">
        <f t="shared" si="13"/>
        <v>-14285929.120000001</v>
      </c>
      <c r="W16" s="186">
        <f t="shared" si="14"/>
        <v>-836572.12000000011</v>
      </c>
      <c r="X16" s="172">
        <f t="shared" ref="X16:AC16" si="26">X17+X18</f>
        <v>16777737</v>
      </c>
      <c r="Y16" s="172">
        <f t="shared" si="26"/>
        <v>17027841.390000001</v>
      </c>
      <c r="Z16" s="172">
        <f t="shared" si="26"/>
        <v>9543466.370000001</v>
      </c>
      <c r="AA16" s="172">
        <f t="shared" si="26"/>
        <v>16779299.550000001</v>
      </c>
      <c r="AB16" s="172">
        <f t="shared" si="26"/>
        <v>2599542.5499999998</v>
      </c>
      <c r="AC16" s="257">
        <f t="shared" si="26"/>
        <v>2544139.56</v>
      </c>
      <c r="AD16" s="258">
        <f t="shared" si="15"/>
        <v>15.163782576875533</v>
      </c>
      <c r="AE16" s="258">
        <f t="shared" si="16"/>
        <v>14.941057423133538</v>
      </c>
      <c r="AF16" s="235">
        <f t="shared" si="17"/>
        <v>-14483701.83</v>
      </c>
      <c r="AG16" s="235">
        <f t="shared" si="18"/>
        <v>-14235159.99</v>
      </c>
      <c r="AH16" s="246">
        <f t="shared" si="19"/>
        <v>-55402.989999999758</v>
      </c>
    </row>
    <row r="17" spans="1:34" ht="16.5">
      <c r="A17" s="195" t="s">
        <v>8</v>
      </c>
      <c r="B17" s="203">
        <f>M17+X17</f>
        <v>4689576</v>
      </c>
      <c r="C17" s="191">
        <f t="shared" si="2"/>
        <v>4364789.68</v>
      </c>
      <c r="D17" s="180">
        <f>O17+Z17</f>
        <v>3525700.8899999997</v>
      </c>
      <c r="E17" s="203">
        <f t="shared" si="3"/>
        <v>4689398.3599999994</v>
      </c>
      <c r="F17" s="203">
        <f t="shared" si="4"/>
        <v>2722414.3600000003</v>
      </c>
      <c r="G17" s="264">
        <f t="shared" si="5"/>
        <v>2610505.1399999997</v>
      </c>
      <c r="H17" s="266">
        <f t="shared" si="6"/>
        <v>55.666122907486724</v>
      </c>
      <c r="I17" s="268">
        <f t="shared" si="7"/>
        <v>59.808268699902165</v>
      </c>
      <c r="J17" s="201">
        <f t="shared" si="8"/>
        <v>-1754284.54</v>
      </c>
      <c r="K17" s="203">
        <f t="shared" si="9"/>
        <v>-2078893.2199999997</v>
      </c>
      <c r="L17" s="203">
        <f t="shared" si="10"/>
        <v>-111909.22000000067</v>
      </c>
      <c r="M17" s="176">
        <v>2130000</v>
      </c>
      <c r="N17" s="177">
        <v>2026000</v>
      </c>
      <c r="O17" s="178">
        <v>1661320</v>
      </c>
      <c r="P17" s="178">
        <v>2130000</v>
      </c>
      <c r="Q17" s="178">
        <v>1469700</v>
      </c>
      <c r="R17" s="262">
        <v>1305252.3799999999</v>
      </c>
      <c r="S17" s="267">
        <f t="shared" si="11"/>
        <v>61.279454460093895</v>
      </c>
      <c r="T17" s="192">
        <f t="shared" ref="T17:T38" si="27">R17/N17*100</f>
        <v>64.425092793682126</v>
      </c>
      <c r="U17" s="186">
        <f t="shared" si="12"/>
        <v>-720747.62000000011</v>
      </c>
      <c r="V17" s="175">
        <f t="shared" si="13"/>
        <v>-824747.62000000011</v>
      </c>
      <c r="W17" s="175">
        <f t="shared" si="14"/>
        <v>-164447.62000000011</v>
      </c>
      <c r="X17" s="176">
        <v>2559576</v>
      </c>
      <c r="Y17" s="177">
        <v>2338789.6800000002</v>
      </c>
      <c r="Z17" s="178">
        <v>1864380.89</v>
      </c>
      <c r="AA17" s="178">
        <v>2559398.36</v>
      </c>
      <c r="AB17" s="178">
        <v>1252714.3600000001</v>
      </c>
      <c r="AC17" s="262">
        <v>1305252.76</v>
      </c>
      <c r="AD17" s="258">
        <f t="shared" si="15"/>
        <v>50.994881964825424</v>
      </c>
      <c r="AE17" s="261">
        <f t="shared" si="16"/>
        <v>55.808898558163634</v>
      </c>
      <c r="AF17" s="235">
        <f t="shared" si="17"/>
        <v>-1033536.9200000002</v>
      </c>
      <c r="AG17" s="237">
        <f t="shared" si="18"/>
        <v>-1254145.5999999999</v>
      </c>
      <c r="AH17" s="247">
        <f t="shared" si="19"/>
        <v>52538.399999999907</v>
      </c>
    </row>
    <row r="18" spans="1:34" ht="16.5">
      <c r="A18" s="195" t="s">
        <v>9</v>
      </c>
      <c r="B18" s="203">
        <f>M18+X18</f>
        <v>28918227</v>
      </c>
      <c r="C18" s="191">
        <f t="shared" si="2"/>
        <v>31086027.710000001</v>
      </c>
      <c r="D18" s="180">
        <f>O18+Z18</f>
        <v>15365891.48</v>
      </c>
      <c r="E18" s="203">
        <f t="shared" si="3"/>
        <v>28919967.189999998</v>
      </c>
      <c r="F18" s="203">
        <f t="shared" si="4"/>
        <v>3257837.19</v>
      </c>
      <c r="G18" s="264">
        <f t="shared" si="5"/>
        <v>2477771.2999999998</v>
      </c>
      <c r="H18" s="266">
        <f t="shared" si="6"/>
        <v>8.5681992191291663</v>
      </c>
      <c r="I18" s="268">
        <f t="shared" si="7"/>
        <v>7.9706912800664167</v>
      </c>
      <c r="J18" s="201">
        <f t="shared" si="8"/>
        <v>-28608256.41</v>
      </c>
      <c r="K18" s="203">
        <f t="shared" si="9"/>
        <v>-26442195.889999997</v>
      </c>
      <c r="L18" s="203">
        <f t="shared" si="10"/>
        <v>-780065.89000000013</v>
      </c>
      <c r="M18" s="176">
        <v>14700066</v>
      </c>
      <c r="N18" s="177">
        <v>16396976</v>
      </c>
      <c r="O18" s="175">
        <v>7686806</v>
      </c>
      <c r="P18" s="175">
        <v>14700066</v>
      </c>
      <c r="Q18" s="175">
        <v>1911009</v>
      </c>
      <c r="R18" s="262">
        <v>1238884.5</v>
      </c>
      <c r="S18" s="267">
        <f t="shared" si="11"/>
        <v>8.4277478754177011</v>
      </c>
      <c r="T18" s="192">
        <f t="shared" si="27"/>
        <v>7.5555669533211498</v>
      </c>
      <c r="U18" s="186">
        <f t="shared" si="12"/>
        <v>-15158091.5</v>
      </c>
      <c r="V18" s="175">
        <f t="shared" si="13"/>
        <v>-13461181.5</v>
      </c>
      <c r="W18" s="175">
        <f t="shared" si="14"/>
        <v>-672124.5</v>
      </c>
      <c r="X18" s="176">
        <v>14218161</v>
      </c>
      <c r="Y18" s="177">
        <v>14689051.710000001</v>
      </c>
      <c r="Z18" s="178">
        <v>7679085.4800000004</v>
      </c>
      <c r="AA18" s="178">
        <v>14219901.189999999</v>
      </c>
      <c r="AB18" s="178">
        <v>1346828.19</v>
      </c>
      <c r="AC18" s="262">
        <v>1238886.8</v>
      </c>
      <c r="AD18" s="258">
        <f t="shared" si="15"/>
        <v>8.7134109678459826</v>
      </c>
      <c r="AE18" s="261">
        <f t="shared" si="16"/>
        <v>8.4340829105842943</v>
      </c>
      <c r="AF18" s="235">
        <f t="shared" si="17"/>
        <v>-13450164.91</v>
      </c>
      <c r="AG18" s="237">
        <f t="shared" si="18"/>
        <v>-12981014.389999999</v>
      </c>
      <c r="AH18" s="247">
        <f t="shared" si="19"/>
        <v>-107941.3899999999</v>
      </c>
    </row>
    <row r="19" spans="1:34" ht="16.5">
      <c r="A19" s="194" t="s">
        <v>10</v>
      </c>
      <c r="B19" s="201">
        <f>M19+X19</f>
        <v>1825343.4300000002</v>
      </c>
      <c r="C19" s="191">
        <f t="shared" si="2"/>
        <v>1646079</v>
      </c>
      <c r="D19" s="202">
        <f>O19+Z19</f>
        <v>1097498</v>
      </c>
      <c r="E19" s="201">
        <f t="shared" si="3"/>
        <v>1817723.4300000002</v>
      </c>
      <c r="F19" s="201">
        <f t="shared" si="4"/>
        <v>863407</v>
      </c>
      <c r="G19" s="265">
        <f t="shared" si="5"/>
        <v>572443.79</v>
      </c>
      <c r="H19" s="266">
        <f t="shared" si="6"/>
        <v>31.36088149724241</v>
      </c>
      <c r="I19" s="266">
        <f t="shared" si="7"/>
        <v>34.776203936749091</v>
      </c>
      <c r="J19" s="201">
        <f t="shared" si="8"/>
        <v>-1073635.21</v>
      </c>
      <c r="K19" s="201">
        <f t="shared" si="9"/>
        <v>-1245279.6400000001</v>
      </c>
      <c r="L19" s="201">
        <f t="shared" si="10"/>
        <v>-290963.20999999996</v>
      </c>
      <c r="M19" s="172">
        <v>1266520</v>
      </c>
      <c r="N19" s="182">
        <v>1038066</v>
      </c>
      <c r="O19" s="174">
        <v>763740</v>
      </c>
      <c r="P19" s="174">
        <v>1266520</v>
      </c>
      <c r="Q19" s="174">
        <v>656840</v>
      </c>
      <c r="R19" s="259">
        <v>408536.79</v>
      </c>
      <c r="S19" s="267">
        <f t="shared" si="11"/>
        <v>32.256639452989297</v>
      </c>
      <c r="T19" s="192">
        <f t="shared" si="27"/>
        <v>39.355569877059835</v>
      </c>
      <c r="U19" s="186">
        <f t="shared" si="12"/>
        <v>-629529.21</v>
      </c>
      <c r="V19" s="186">
        <f t="shared" si="13"/>
        <v>-857983.21</v>
      </c>
      <c r="W19" s="186">
        <f t="shared" si="14"/>
        <v>-248303.21000000002</v>
      </c>
      <c r="X19" s="172">
        <v>558823.43000000005</v>
      </c>
      <c r="Y19" s="173">
        <v>608013</v>
      </c>
      <c r="Z19" s="174">
        <v>333758</v>
      </c>
      <c r="AA19" s="174">
        <v>551203.43000000005</v>
      </c>
      <c r="AB19" s="174">
        <v>206567</v>
      </c>
      <c r="AC19" s="259">
        <v>163907</v>
      </c>
      <c r="AD19" s="258">
        <f t="shared" si="15"/>
        <v>29.330731533572241</v>
      </c>
      <c r="AE19" s="258">
        <f t="shared" si="16"/>
        <v>26.957811757314399</v>
      </c>
      <c r="AF19" s="235">
        <f t="shared" si="17"/>
        <v>-444106</v>
      </c>
      <c r="AG19" s="235">
        <f t="shared" si="18"/>
        <v>-387296.43000000005</v>
      </c>
      <c r="AH19" s="246">
        <f t="shared" si="19"/>
        <v>-42660</v>
      </c>
    </row>
    <row r="20" spans="1:34" ht="16.5">
      <c r="A20" s="194" t="s">
        <v>11</v>
      </c>
      <c r="B20" s="203">
        <f>M20+X20</f>
        <v>0</v>
      </c>
      <c r="C20" s="191">
        <f t="shared" si="2"/>
        <v>0</v>
      </c>
      <c r="D20" s="202">
        <f>O20+Z20</f>
        <v>0</v>
      </c>
      <c r="E20" s="203">
        <f t="shared" si="3"/>
        <v>0</v>
      </c>
      <c r="F20" s="201">
        <f t="shared" si="4"/>
        <v>0</v>
      </c>
      <c r="G20" s="264">
        <f t="shared" si="5"/>
        <v>5839</v>
      </c>
      <c r="H20" s="266"/>
      <c r="I20" s="266"/>
      <c r="J20" s="201">
        <f t="shared" si="8"/>
        <v>5839</v>
      </c>
      <c r="K20" s="201">
        <f t="shared" si="9"/>
        <v>5839</v>
      </c>
      <c r="L20" s="201">
        <f t="shared" si="10"/>
        <v>5839</v>
      </c>
      <c r="M20" s="176">
        <v>0</v>
      </c>
      <c r="N20" s="177">
        <v>0</v>
      </c>
      <c r="O20" s="175">
        <v>0</v>
      </c>
      <c r="P20" s="175"/>
      <c r="Q20" s="175"/>
      <c r="R20" s="259">
        <v>5839</v>
      </c>
      <c r="S20" s="267"/>
      <c r="T20" s="192"/>
      <c r="U20" s="186">
        <f t="shared" si="12"/>
        <v>5839</v>
      </c>
      <c r="V20" s="175">
        <f t="shared" si="13"/>
        <v>5839</v>
      </c>
      <c r="W20" s="175">
        <f t="shared" si="14"/>
        <v>5839</v>
      </c>
      <c r="X20" s="176"/>
      <c r="Y20" s="173"/>
      <c r="Z20" s="175"/>
      <c r="AA20" s="175"/>
      <c r="AB20" s="175"/>
      <c r="AC20" s="260"/>
      <c r="AD20" s="258"/>
      <c r="AE20" s="258"/>
      <c r="AF20" s="235">
        <f t="shared" si="17"/>
        <v>0</v>
      </c>
      <c r="AG20" s="237">
        <f t="shared" si="18"/>
        <v>0</v>
      </c>
      <c r="AH20" s="247">
        <f t="shared" si="19"/>
        <v>0</v>
      </c>
    </row>
    <row r="21" spans="1:34" ht="29.25" customHeight="1">
      <c r="A21" s="196" t="s">
        <v>21</v>
      </c>
      <c r="B21" s="204">
        <f>B22+B23+B24+B25+B26</f>
        <v>16032550.459999999</v>
      </c>
      <c r="C21" s="191">
        <f t="shared" si="2"/>
        <v>75029742.249999985</v>
      </c>
      <c r="D21" s="205">
        <f>D22+D23+D24+D25+D26</f>
        <v>58951598.599999994</v>
      </c>
      <c r="E21" s="201">
        <f t="shared" si="3"/>
        <v>26546232.689999998</v>
      </c>
      <c r="F21" s="201">
        <f t="shared" si="4"/>
        <v>24432565.43</v>
      </c>
      <c r="G21" s="265">
        <f t="shared" si="5"/>
        <v>38751940.75</v>
      </c>
      <c r="H21" s="266">
        <f t="shared" si="6"/>
        <v>241.70789823293032</v>
      </c>
      <c r="I21" s="266">
        <f t="shared" si="7"/>
        <v>51.648772324017955</v>
      </c>
      <c r="J21" s="201">
        <f t="shared" si="8"/>
        <v>-36277801.499999985</v>
      </c>
      <c r="K21" s="201">
        <f t="shared" si="9"/>
        <v>12205708.060000002</v>
      </c>
      <c r="L21" s="201">
        <f t="shared" si="10"/>
        <v>14319375.32</v>
      </c>
      <c r="M21" s="179">
        <f t="shared" ref="M21:R21" si="28">M22+M23+M24+M25+M26</f>
        <v>12676017</v>
      </c>
      <c r="N21" s="179">
        <f t="shared" si="28"/>
        <v>71652714.229999989</v>
      </c>
      <c r="O21" s="179">
        <f t="shared" si="28"/>
        <v>56540782.229999997</v>
      </c>
      <c r="P21" s="179">
        <f t="shared" si="28"/>
        <v>23130387.039999999</v>
      </c>
      <c r="Q21" s="179">
        <f t="shared" si="28"/>
        <v>22894165.539999999</v>
      </c>
      <c r="R21" s="263">
        <f t="shared" si="28"/>
        <v>37241965.409999996</v>
      </c>
      <c r="S21" s="267">
        <f t="shared" si="11"/>
        <v>293.79863887844266</v>
      </c>
      <c r="T21" s="192">
        <f t="shared" si="27"/>
        <v>51.975652018506935</v>
      </c>
      <c r="U21" s="186">
        <f t="shared" si="12"/>
        <v>-34410748.819999993</v>
      </c>
      <c r="V21" s="186">
        <f t="shared" si="13"/>
        <v>14111578.369999997</v>
      </c>
      <c r="W21" s="186">
        <f t="shared" si="14"/>
        <v>14347799.869999997</v>
      </c>
      <c r="X21" s="179">
        <f t="shared" ref="X21:AC21" si="29">X22+X23+X24+X25+X26</f>
        <v>3356533.46</v>
      </c>
      <c r="Y21" s="179">
        <f t="shared" si="29"/>
        <v>3377028.02</v>
      </c>
      <c r="Z21" s="179">
        <f t="shared" si="29"/>
        <v>2410816.37</v>
      </c>
      <c r="AA21" s="179">
        <f t="shared" si="29"/>
        <v>3415845.65</v>
      </c>
      <c r="AB21" s="179">
        <f t="shared" si="29"/>
        <v>1538399.89</v>
      </c>
      <c r="AC21" s="263">
        <f t="shared" si="29"/>
        <v>1509975.3399999999</v>
      </c>
      <c r="AD21" s="258">
        <f>AC21/X21*100</f>
        <v>44.986154852750964</v>
      </c>
      <c r="AE21" s="258">
        <f>AC21/Y21*100</f>
        <v>44.713142178784757</v>
      </c>
      <c r="AF21" s="235">
        <f>AC21-Y21</f>
        <v>-1867052.6800000002</v>
      </c>
      <c r="AG21" s="235">
        <f t="shared" si="18"/>
        <v>-1905870.31</v>
      </c>
      <c r="AH21" s="246">
        <f t="shared" si="19"/>
        <v>-28424.550000000047</v>
      </c>
    </row>
    <row r="22" spans="1:34" ht="16.5">
      <c r="A22" s="195" t="s">
        <v>12</v>
      </c>
      <c r="B22" s="203">
        <f t="shared" ref="B22:B28" si="30">M22+X22</f>
        <v>12265574</v>
      </c>
      <c r="C22" s="191">
        <f t="shared" si="2"/>
        <v>71185562.319999993</v>
      </c>
      <c r="D22" s="180">
        <f t="shared" ref="D22:D28" si="31">O22+Z22</f>
        <v>56342443.229999997</v>
      </c>
      <c r="E22" s="203">
        <f t="shared" si="3"/>
        <v>22312083.469999999</v>
      </c>
      <c r="F22" s="203">
        <f t="shared" si="4"/>
        <v>22229383.469999999</v>
      </c>
      <c r="G22" s="264">
        <f t="shared" si="5"/>
        <v>36627817.57</v>
      </c>
      <c r="H22" s="266">
        <f t="shared" si="6"/>
        <v>298.62293904875548</v>
      </c>
      <c r="I22" s="268">
        <f t="shared" si="7"/>
        <v>51.453997659451247</v>
      </c>
      <c r="J22" s="201">
        <f t="shared" si="8"/>
        <v>-34557744.749999993</v>
      </c>
      <c r="K22" s="203">
        <f t="shared" si="9"/>
        <v>14315734.100000001</v>
      </c>
      <c r="L22" s="203">
        <f t="shared" si="10"/>
        <v>14398434.100000001</v>
      </c>
      <c r="M22" s="176">
        <v>12241574</v>
      </c>
      <c r="N22" s="177">
        <v>71162864.319999993</v>
      </c>
      <c r="O22" s="175">
        <v>56326693.229999997</v>
      </c>
      <c r="P22" s="175">
        <v>22288083.469999999</v>
      </c>
      <c r="Q22" s="175">
        <v>22219083.469999999</v>
      </c>
      <c r="R22" s="260">
        <v>36570955.100000001</v>
      </c>
      <c r="S22" s="267">
        <f t="shared" si="11"/>
        <v>298.74389600553002</v>
      </c>
      <c r="T22" s="192">
        <f t="shared" si="27"/>
        <v>51.390504653593474</v>
      </c>
      <c r="U22" s="186">
        <f t="shared" si="12"/>
        <v>-34591909.219999991</v>
      </c>
      <c r="V22" s="175">
        <f t="shared" si="13"/>
        <v>14282871.630000003</v>
      </c>
      <c r="W22" s="175">
        <f t="shared" si="14"/>
        <v>14351871.630000003</v>
      </c>
      <c r="X22" s="176">
        <v>24000</v>
      </c>
      <c r="Y22" s="177">
        <v>22698</v>
      </c>
      <c r="Z22" s="175">
        <v>15750</v>
      </c>
      <c r="AA22" s="175">
        <v>24000</v>
      </c>
      <c r="AB22" s="175">
        <v>10300</v>
      </c>
      <c r="AC22" s="260">
        <v>56862.47</v>
      </c>
      <c r="AD22" s="258">
        <f t="shared" si="15"/>
        <v>236.92695833333332</v>
      </c>
      <c r="AE22" s="261">
        <f t="shared" si="16"/>
        <v>250.5175345845449</v>
      </c>
      <c r="AF22" s="235">
        <f t="shared" si="17"/>
        <v>34164.47</v>
      </c>
      <c r="AG22" s="237">
        <f t="shared" si="18"/>
        <v>32862.47</v>
      </c>
      <c r="AH22" s="247">
        <f t="shared" si="19"/>
        <v>46562.47</v>
      </c>
    </row>
    <row r="23" spans="1:34" ht="30" customHeight="1">
      <c r="A23" s="197" t="s">
        <v>25</v>
      </c>
      <c r="B23" s="203">
        <f t="shared" si="30"/>
        <v>3165825.36</v>
      </c>
      <c r="C23" s="191">
        <f t="shared" si="2"/>
        <v>3577759.02</v>
      </c>
      <c r="D23" s="180">
        <f t="shared" si="31"/>
        <v>2338452.37</v>
      </c>
      <c r="E23" s="203">
        <f t="shared" si="3"/>
        <v>3225137.55</v>
      </c>
      <c r="F23" s="203">
        <f t="shared" si="4"/>
        <v>1533177.89</v>
      </c>
      <c r="G23" s="264">
        <f t="shared" si="5"/>
        <v>1540861.3399999999</v>
      </c>
      <c r="H23" s="266">
        <f t="shared" si="6"/>
        <v>48.671710052888066</v>
      </c>
      <c r="I23" s="268">
        <f t="shared" si="7"/>
        <v>43.067778779578056</v>
      </c>
      <c r="J23" s="201">
        <f t="shared" si="8"/>
        <v>-2036897.6800000002</v>
      </c>
      <c r="K23" s="203">
        <f t="shared" si="9"/>
        <v>-1684276.21</v>
      </c>
      <c r="L23" s="203">
        <f t="shared" si="10"/>
        <v>7683.4499999999534</v>
      </c>
      <c r="M23" s="176">
        <v>334443</v>
      </c>
      <c r="N23" s="177">
        <v>418270</v>
      </c>
      <c r="O23" s="175">
        <v>214089</v>
      </c>
      <c r="P23" s="175">
        <v>334443</v>
      </c>
      <c r="Q23" s="175">
        <v>167221.5</v>
      </c>
      <c r="R23" s="264">
        <v>147207.19</v>
      </c>
      <c r="S23" s="267">
        <f t="shared" si="11"/>
        <v>44.015628971155024</v>
      </c>
      <c r="T23" s="192">
        <f t="shared" si="27"/>
        <v>35.194297941521029</v>
      </c>
      <c r="U23" s="186">
        <f t="shared" si="12"/>
        <v>-271062.81</v>
      </c>
      <c r="V23" s="175">
        <f t="shared" si="13"/>
        <v>-187235.81</v>
      </c>
      <c r="W23" s="175">
        <f t="shared" si="14"/>
        <v>-20014.309999999998</v>
      </c>
      <c r="X23" s="176">
        <v>2831382.36</v>
      </c>
      <c r="Y23" s="177">
        <v>3159489.02</v>
      </c>
      <c r="Z23" s="180">
        <v>2124363.37</v>
      </c>
      <c r="AA23" s="180">
        <v>2890694.55</v>
      </c>
      <c r="AB23" s="180">
        <v>1365956.39</v>
      </c>
      <c r="AC23" s="264">
        <v>1393654.15</v>
      </c>
      <c r="AD23" s="258">
        <f t="shared" si="15"/>
        <v>49.221686540421899</v>
      </c>
      <c r="AE23" s="261">
        <f t="shared" si="16"/>
        <v>44.110112147185113</v>
      </c>
      <c r="AF23" s="235">
        <f t="shared" si="17"/>
        <v>-1765834.87</v>
      </c>
      <c r="AG23" s="237">
        <f t="shared" si="18"/>
        <v>-1497040.4</v>
      </c>
      <c r="AH23" s="247">
        <f t="shared" si="19"/>
        <v>27697.760000000009</v>
      </c>
    </row>
    <row r="24" spans="1:34" ht="17.25" customHeight="1">
      <c r="A24" s="198" t="s">
        <v>26</v>
      </c>
      <c r="B24" s="203">
        <f t="shared" si="30"/>
        <v>9223</v>
      </c>
      <c r="C24" s="191">
        <f t="shared" si="2"/>
        <v>8400</v>
      </c>
      <c r="D24" s="180">
        <f t="shared" si="31"/>
        <v>0</v>
      </c>
      <c r="E24" s="203">
        <f t="shared" si="3"/>
        <v>9223</v>
      </c>
      <c r="F24" s="203">
        <f t="shared" si="4"/>
        <v>9223</v>
      </c>
      <c r="G24" s="264">
        <f t="shared" si="5"/>
        <v>0</v>
      </c>
      <c r="H24" s="266"/>
      <c r="I24" s="268"/>
      <c r="J24" s="201">
        <f t="shared" si="8"/>
        <v>-8400</v>
      </c>
      <c r="K24" s="203">
        <f t="shared" si="9"/>
        <v>-9223</v>
      </c>
      <c r="L24" s="203">
        <f t="shared" si="10"/>
        <v>-9223</v>
      </c>
      <c r="M24" s="176">
        <v>0</v>
      </c>
      <c r="N24" s="177">
        <v>0</v>
      </c>
      <c r="O24" s="175">
        <v>0</v>
      </c>
      <c r="P24" s="175">
        <v>0</v>
      </c>
      <c r="Q24" s="175">
        <v>0</v>
      </c>
      <c r="R24" s="260">
        <v>0</v>
      </c>
      <c r="S24" s="267"/>
      <c r="T24" s="192"/>
      <c r="U24" s="186">
        <f t="shared" si="12"/>
        <v>0</v>
      </c>
      <c r="V24" s="175">
        <f t="shared" si="13"/>
        <v>0</v>
      </c>
      <c r="W24" s="175">
        <f t="shared" si="14"/>
        <v>0</v>
      </c>
      <c r="X24" s="176">
        <v>9223</v>
      </c>
      <c r="Y24" s="173">
        <v>8400</v>
      </c>
      <c r="Z24" s="175"/>
      <c r="AA24" s="175">
        <v>9223</v>
      </c>
      <c r="AB24" s="175">
        <v>9223</v>
      </c>
      <c r="AC24" s="260">
        <v>0</v>
      </c>
      <c r="AD24" s="258">
        <f t="shared" si="15"/>
        <v>0</v>
      </c>
      <c r="AE24" s="261"/>
      <c r="AF24" s="235">
        <f t="shared" si="17"/>
        <v>-8400</v>
      </c>
      <c r="AG24" s="237">
        <f t="shared" si="18"/>
        <v>-9223</v>
      </c>
      <c r="AH24" s="247">
        <f t="shared" si="19"/>
        <v>-9223</v>
      </c>
    </row>
    <row r="25" spans="1:34" ht="31.5" customHeight="1">
      <c r="A25" s="197" t="s">
        <v>24</v>
      </c>
      <c r="B25" s="203">
        <f t="shared" si="30"/>
        <v>591928.1</v>
      </c>
      <c r="C25" s="191">
        <f t="shared" si="2"/>
        <v>258020.91</v>
      </c>
      <c r="D25" s="180">
        <f t="shared" si="31"/>
        <v>270703</v>
      </c>
      <c r="E25" s="203">
        <f t="shared" si="3"/>
        <v>999788.66999999993</v>
      </c>
      <c r="F25" s="203">
        <f t="shared" si="4"/>
        <v>660781.07000000007</v>
      </c>
      <c r="G25" s="264">
        <f t="shared" si="5"/>
        <v>583261.84</v>
      </c>
      <c r="H25" s="266">
        <f t="shared" si="6"/>
        <v>98.535926914096493</v>
      </c>
      <c r="I25" s="268">
        <f t="shared" si="7"/>
        <v>226.05215988115069</v>
      </c>
      <c r="J25" s="201">
        <f t="shared" si="8"/>
        <v>325240.92999999993</v>
      </c>
      <c r="K25" s="203">
        <f t="shared" si="9"/>
        <v>-416526.82999999996</v>
      </c>
      <c r="L25" s="203">
        <f t="shared" si="10"/>
        <v>-77519.230000000098</v>
      </c>
      <c r="M25" s="176">
        <v>100000</v>
      </c>
      <c r="N25" s="177">
        <v>71579.91</v>
      </c>
      <c r="O25" s="175">
        <v>0</v>
      </c>
      <c r="P25" s="175">
        <v>507860.57</v>
      </c>
      <c r="Q25" s="175">
        <v>507860.57</v>
      </c>
      <c r="R25" s="260">
        <v>523803.12</v>
      </c>
      <c r="S25" s="267"/>
      <c r="T25" s="192"/>
      <c r="U25" s="186">
        <f t="shared" si="12"/>
        <v>452223.20999999996</v>
      </c>
      <c r="V25" s="175">
        <f t="shared" si="13"/>
        <v>15942.549999999988</v>
      </c>
      <c r="W25" s="175">
        <f t="shared" si="14"/>
        <v>15942.549999999988</v>
      </c>
      <c r="X25" s="176">
        <v>491928.1</v>
      </c>
      <c r="Y25" s="177">
        <v>186441</v>
      </c>
      <c r="Z25" s="180">
        <v>270703</v>
      </c>
      <c r="AA25" s="180">
        <v>491928.1</v>
      </c>
      <c r="AB25" s="180">
        <v>152920.5</v>
      </c>
      <c r="AC25" s="264">
        <v>59458.720000000001</v>
      </c>
      <c r="AD25" s="258">
        <f t="shared" si="15"/>
        <v>12.08687204491876</v>
      </c>
      <c r="AE25" s="261">
        <f t="shared" si="16"/>
        <v>31.891440187512405</v>
      </c>
      <c r="AF25" s="235">
        <f t="shared" si="17"/>
        <v>-126982.28</v>
      </c>
      <c r="AG25" s="237">
        <f t="shared" si="18"/>
        <v>-432469.38</v>
      </c>
      <c r="AH25" s="247">
        <f t="shared" si="19"/>
        <v>-93461.78</v>
      </c>
    </row>
    <row r="26" spans="1:34" ht="16.5" hidden="1">
      <c r="A26" s="198" t="s">
        <v>27</v>
      </c>
      <c r="B26" s="203">
        <f t="shared" si="30"/>
        <v>0</v>
      </c>
      <c r="C26" s="191">
        <f t="shared" si="2"/>
        <v>0</v>
      </c>
      <c r="D26" s="180">
        <f t="shared" si="31"/>
        <v>0</v>
      </c>
      <c r="E26" s="201">
        <f t="shared" si="3"/>
        <v>0</v>
      </c>
      <c r="F26" s="201">
        <f t="shared" si="4"/>
        <v>0</v>
      </c>
      <c r="G26" s="265">
        <f t="shared" si="5"/>
        <v>0</v>
      </c>
      <c r="H26" s="266" t="e">
        <f t="shared" si="6"/>
        <v>#DIV/0!</v>
      </c>
      <c r="I26" s="266" t="e">
        <f t="shared" si="7"/>
        <v>#DIV/0!</v>
      </c>
      <c r="J26" s="201">
        <f t="shared" si="8"/>
        <v>0</v>
      </c>
      <c r="K26" s="201">
        <f t="shared" si="9"/>
        <v>0</v>
      </c>
      <c r="L26" s="201">
        <f t="shared" si="10"/>
        <v>0</v>
      </c>
      <c r="M26" s="187">
        <v>0</v>
      </c>
      <c r="N26" s="189">
        <v>0</v>
      </c>
      <c r="O26" s="188">
        <v>0</v>
      </c>
      <c r="P26" s="188"/>
      <c r="Q26" s="188"/>
      <c r="R26" s="260"/>
      <c r="S26" s="267" t="e">
        <f t="shared" si="11"/>
        <v>#DIV/0!</v>
      </c>
      <c r="T26" s="192" t="e">
        <f t="shared" si="27"/>
        <v>#DIV/0!</v>
      </c>
      <c r="U26" s="186">
        <f t="shared" si="12"/>
        <v>0</v>
      </c>
      <c r="V26" s="186">
        <f t="shared" si="13"/>
        <v>0</v>
      </c>
      <c r="W26" s="186">
        <f t="shared" si="14"/>
        <v>0</v>
      </c>
      <c r="X26" s="176">
        <v>0</v>
      </c>
      <c r="Y26" s="173">
        <f>X26</f>
        <v>0</v>
      </c>
      <c r="Z26" s="175"/>
      <c r="AA26" s="175"/>
      <c r="AB26" s="175"/>
      <c r="AC26" s="260"/>
      <c r="AD26" s="258" t="e">
        <f>AC26/X26*100</f>
        <v>#DIV/0!</v>
      </c>
      <c r="AE26" s="258" t="e">
        <f t="shared" si="16"/>
        <v>#DIV/0!</v>
      </c>
      <c r="AF26" s="235">
        <f t="shared" si="17"/>
        <v>0</v>
      </c>
      <c r="AG26" s="237">
        <f t="shared" si="18"/>
        <v>0</v>
      </c>
      <c r="AH26" s="247">
        <f t="shared" si="19"/>
        <v>0</v>
      </c>
    </row>
    <row r="27" spans="1:34" ht="18.75" customHeight="1">
      <c r="A27" s="196" t="s">
        <v>22</v>
      </c>
      <c r="B27" s="201">
        <f t="shared" si="30"/>
        <v>1010000</v>
      </c>
      <c r="C27" s="191">
        <f t="shared" si="2"/>
        <v>4070100</v>
      </c>
      <c r="D27" s="202">
        <f t="shared" si="31"/>
        <v>3528975</v>
      </c>
      <c r="E27" s="201">
        <f t="shared" si="3"/>
        <v>2010000</v>
      </c>
      <c r="F27" s="201">
        <f t="shared" si="4"/>
        <v>2010000</v>
      </c>
      <c r="G27" s="265">
        <f t="shared" si="5"/>
        <v>1993953.24</v>
      </c>
      <c r="H27" s="266">
        <f t="shared" si="6"/>
        <v>197.42111287128711</v>
      </c>
      <c r="I27" s="266">
        <f t="shared" si="7"/>
        <v>48.990276405985114</v>
      </c>
      <c r="J27" s="201">
        <f t="shared" si="8"/>
        <v>-2076146.76</v>
      </c>
      <c r="K27" s="201">
        <f t="shared" si="9"/>
        <v>-16046.760000000009</v>
      </c>
      <c r="L27" s="201">
        <f t="shared" si="10"/>
        <v>-16046.760000000009</v>
      </c>
      <c r="M27" s="190">
        <v>1010000</v>
      </c>
      <c r="N27" s="191">
        <v>4070100</v>
      </c>
      <c r="O27" s="174">
        <v>3528975</v>
      </c>
      <c r="P27" s="174">
        <v>2010000</v>
      </c>
      <c r="Q27" s="174">
        <v>2010000</v>
      </c>
      <c r="R27" s="259">
        <v>1993953.24</v>
      </c>
      <c r="S27" s="267">
        <f t="shared" si="11"/>
        <v>197.42111287128711</v>
      </c>
      <c r="T27" s="192">
        <f t="shared" si="27"/>
        <v>48.990276405985114</v>
      </c>
      <c r="U27" s="186">
        <f t="shared" si="12"/>
        <v>-2076146.76</v>
      </c>
      <c r="V27" s="186">
        <f t="shared" si="13"/>
        <v>-16046.760000000009</v>
      </c>
      <c r="W27" s="186">
        <f t="shared" si="14"/>
        <v>-16046.760000000009</v>
      </c>
      <c r="X27" s="172"/>
      <c r="Y27" s="173"/>
      <c r="Z27" s="175"/>
      <c r="AA27" s="175"/>
      <c r="AB27" s="175">
        <v>0</v>
      </c>
      <c r="AC27" s="260">
        <v>0</v>
      </c>
      <c r="AD27" s="258"/>
      <c r="AE27" s="258"/>
      <c r="AF27" s="235">
        <f t="shared" si="17"/>
        <v>0</v>
      </c>
      <c r="AG27" s="237">
        <f t="shared" si="18"/>
        <v>0</v>
      </c>
      <c r="AH27" s="247">
        <f t="shared" si="19"/>
        <v>0</v>
      </c>
    </row>
    <row r="28" spans="1:34" ht="16.5">
      <c r="A28" s="194" t="s">
        <v>13</v>
      </c>
      <c r="B28" s="201">
        <f t="shared" si="30"/>
        <v>45067</v>
      </c>
      <c r="C28" s="191">
        <f t="shared" si="2"/>
        <v>1352499.21</v>
      </c>
      <c r="D28" s="202">
        <f t="shared" si="31"/>
        <v>712979.65</v>
      </c>
      <c r="E28" s="201">
        <f t="shared" si="3"/>
        <v>1743745.3900000001</v>
      </c>
      <c r="F28" s="201">
        <f t="shared" si="4"/>
        <v>1583421.3900000001</v>
      </c>
      <c r="G28" s="265">
        <f t="shared" si="5"/>
        <v>1667794.88</v>
      </c>
      <c r="H28" s="266">
        <f t="shared" si="6"/>
        <v>3700.7009119755025</v>
      </c>
      <c r="I28" s="266">
        <f t="shared" si="7"/>
        <v>123.31207794199005</v>
      </c>
      <c r="J28" s="201">
        <f t="shared" si="8"/>
        <v>315295.66999999993</v>
      </c>
      <c r="K28" s="201">
        <f t="shared" si="9"/>
        <v>-75950.510000000242</v>
      </c>
      <c r="L28" s="201">
        <f t="shared" si="10"/>
        <v>84373.489999999758</v>
      </c>
      <c r="M28" s="172">
        <v>45067</v>
      </c>
      <c r="N28" s="182">
        <v>804290.94</v>
      </c>
      <c r="O28" s="186">
        <v>648324.05000000005</v>
      </c>
      <c r="P28" s="186">
        <v>846861.98</v>
      </c>
      <c r="Q28" s="186">
        <v>846861.98</v>
      </c>
      <c r="R28" s="259">
        <v>848006.47</v>
      </c>
      <c r="S28" s="267">
        <f t="shared" si="11"/>
        <v>1881.6572436594402</v>
      </c>
      <c r="T28" s="192">
        <f t="shared" si="27"/>
        <v>105.43528813093432</v>
      </c>
      <c r="U28" s="186">
        <f t="shared" si="12"/>
        <v>43715.530000000028</v>
      </c>
      <c r="V28" s="186">
        <f t="shared" si="13"/>
        <v>1144.4899999999907</v>
      </c>
      <c r="W28" s="186">
        <f t="shared" si="14"/>
        <v>1144.4899999999907</v>
      </c>
      <c r="X28" s="172">
        <v>0</v>
      </c>
      <c r="Y28" s="173">
        <v>548208.27</v>
      </c>
      <c r="Z28" s="174">
        <v>64655.6</v>
      </c>
      <c r="AA28" s="174">
        <v>896883.41</v>
      </c>
      <c r="AB28" s="174">
        <v>736559.41</v>
      </c>
      <c r="AC28" s="259">
        <v>819788.41</v>
      </c>
      <c r="AD28" s="258"/>
      <c r="AE28" s="258">
        <f t="shared" si="16"/>
        <v>149.53959195106634</v>
      </c>
      <c r="AF28" s="235">
        <f t="shared" si="17"/>
        <v>271580.14</v>
      </c>
      <c r="AG28" s="235">
        <f t="shared" si="18"/>
        <v>-77095</v>
      </c>
      <c r="AH28" s="246">
        <f t="shared" si="19"/>
        <v>83229</v>
      </c>
    </row>
    <row r="29" spans="1:34" ht="17.25" customHeight="1">
      <c r="A29" s="196" t="s">
        <v>23</v>
      </c>
      <c r="B29" s="201">
        <f>B30+B31</f>
        <v>5716000</v>
      </c>
      <c r="C29" s="191">
        <f t="shared" si="2"/>
        <v>22080261.09</v>
      </c>
      <c r="D29" s="202">
        <f>D30+D31</f>
        <v>12984076.32</v>
      </c>
      <c r="E29" s="201">
        <f t="shared" si="3"/>
        <v>9818441.0899999999</v>
      </c>
      <c r="F29" s="201">
        <f t="shared" si="4"/>
        <v>8410633.0899999999</v>
      </c>
      <c r="G29" s="265">
        <f t="shared" si="5"/>
        <v>8661077.5700000003</v>
      </c>
      <c r="H29" s="266">
        <f t="shared" si="6"/>
        <v>151.52340045486355</v>
      </c>
      <c r="I29" s="266">
        <f t="shared" si="7"/>
        <v>39.22543096160463</v>
      </c>
      <c r="J29" s="201">
        <f t="shared" si="8"/>
        <v>-13419183.52</v>
      </c>
      <c r="K29" s="201">
        <f t="shared" si="9"/>
        <v>-1157363.5199999996</v>
      </c>
      <c r="L29" s="201">
        <f t="shared" si="10"/>
        <v>250444.48000000045</v>
      </c>
      <c r="M29" s="172">
        <f t="shared" ref="M29:R29" si="32">M30+M31</f>
        <v>5366000</v>
      </c>
      <c r="N29" s="172">
        <f t="shared" si="32"/>
        <v>19264133.41</v>
      </c>
      <c r="O29" s="172">
        <f t="shared" si="32"/>
        <v>11412634.35</v>
      </c>
      <c r="P29" s="172">
        <f t="shared" si="32"/>
        <v>7790135.9000000004</v>
      </c>
      <c r="Q29" s="172">
        <f t="shared" si="32"/>
        <v>6579327.9000000004</v>
      </c>
      <c r="R29" s="257">
        <f t="shared" si="32"/>
        <v>6583598.29</v>
      </c>
      <c r="S29" s="267">
        <f t="shared" si="11"/>
        <v>122.69098565039135</v>
      </c>
      <c r="T29" s="192">
        <f t="shared" si="27"/>
        <v>34.175418898326662</v>
      </c>
      <c r="U29" s="186">
        <f t="shared" si="12"/>
        <v>-12680535.120000001</v>
      </c>
      <c r="V29" s="186">
        <f t="shared" si="13"/>
        <v>-1206537.6100000003</v>
      </c>
      <c r="W29" s="186">
        <f t="shared" si="14"/>
        <v>4270.3899999996647</v>
      </c>
      <c r="X29" s="172">
        <f t="shared" ref="X29:AC29" si="33">X30+X31</f>
        <v>350000</v>
      </c>
      <c r="Y29" s="172">
        <f t="shared" si="33"/>
        <v>2816127.68</v>
      </c>
      <c r="Z29" s="172">
        <f t="shared" si="33"/>
        <v>1571441.97</v>
      </c>
      <c r="AA29" s="172">
        <f t="shared" si="33"/>
        <v>2028305.19</v>
      </c>
      <c r="AB29" s="172">
        <f t="shared" si="33"/>
        <v>1831305.19</v>
      </c>
      <c r="AC29" s="257">
        <f t="shared" si="33"/>
        <v>2077479.28</v>
      </c>
      <c r="AD29" s="258">
        <f>AC29/X29*100</f>
        <v>593.56550857142861</v>
      </c>
      <c r="AE29" s="258">
        <f t="shared" si="16"/>
        <v>73.770777324982646</v>
      </c>
      <c r="AF29" s="235">
        <f t="shared" si="17"/>
        <v>-738648.40000000014</v>
      </c>
      <c r="AG29" s="235">
        <f t="shared" si="18"/>
        <v>49174.090000000084</v>
      </c>
      <c r="AH29" s="246">
        <f t="shared" si="19"/>
        <v>246174.09000000008</v>
      </c>
    </row>
    <row r="30" spans="1:34" ht="16.5">
      <c r="A30" s="195" t="s">
        <v>14</v>
      </c>
      <c r="B30" s="203">
        <f>M30+X30</f>
        <v>50000</v>
      </c>
      <c r="C30" s="191">
        <f t="shared" si="2"/>
        <v>6525074.4800000004</v>
      </c>
      <c r="D30" s="180">
        <f>O30+Z30</f>
        <v>2125916.7000000002</v>
      </c>
      <c r="E30" s="203">
        <f t="shared" si="3"/>
        <v>2261569.5099999998</v>
      </c>
      <c r="F30" s="203">
        <f t="shared" si="4"/>
        <v>2236569.5099999998</v>
      </c>
      <c r="G30" s="264">
        <f t="shared" si="5"/>
        <v>2318729.56</v>
      </c>
      <c r="H30" s="268">
        <f t="shared" si="6"/>
        <v>4637.4591199999995</v>
      </c>
      <c r="I30" s="268">
        <f t="shared" si="7"/>
        <v>35.535679586602967</v>
      </c>
      <c r="J30" s="203">
        <f t="shared" si="8"/>
        <v>-4206344.92</v>
      </c>
      <c r="K30" s="203">
        <f t="shared" si="9"/>
        <v>57160.050000000279</v>
      </c>
      <c r="L30" s="203">
        <f t="shared" si="10"/>
        <v>82160.050000000279</v>
      </c>
      <c r="M30" s="176">
        <v>0</v>
      </c>
      <c r="N30" s="177">
        <v>4993216.38</v>
      </c>
      <c r="O30" s="175">
        <v>1386640</v>
      </c>
      <c r="P30" s="175">
        <v>763637</v>
      </c>
      <c r="Q30" s="175">
        <v>763637</v>
      </c>
      <c r="R30" s="262">
        <v>763637</v>
      </c>
      <c r="S30" s="267" t="e">
        <f t="shared" si="11"/>
        <v>#DIV/0!</v>
      </c>
      <c r="T30" s="192">
        <f t="shared" si="27"/>
        <v>15.293489043629229</v>
      </c>
      <c r="U30" s="186">
        <f t="shared" si="12"/>
        <v>-4229579.38</v>
      </c>
      <c r="V30" s="175">
        <f t="shared" si="13"/>
        <v>0</v>
      </c>
      <c r="W30" s="175">
        <f t="shared" si="14"/>
        <v>0</v>
      </c>
      <c r="X30" s="176">
        <v>50000</v>
      </c>
      <c r="Y30" s="177">
        <v>1531858.1</v>
      </c>
      <c r="Z30" s="178">
        <v>739276.7</v>
      </c>
      <c r="AA30" s="178">
        <v>1497932.51</v>
      </c>
      <c r="AB30" s="178">
        <v>1472932.51</v>
      </c>
      <c r="AC30" s="262">
        <v>1555092.56</v>
      </c>
      <c r="AD30" s="258">
        <f>AC30/X30*100</f>
        <v>3110.1851200000001</v>
      </c>
      <c r="AE30" s="261">
        <f t="shared" si="16"/>
        <v>101.51675014807179</v>
      </c>
      <c r="AF30" s="235">
        <f t="shared" si="17"/>
        <v>23234.459999999963</v>
      </c>
      <c r="AG30" s="237">
        <f t="shared" si="18"/>
        <v>57160.050000000047</v>
      </c>
      <c r="AH30" s="247">
        <f t="shared" si="19"/>
        <v>82160.050000000047</v>
      </c>
    </row>
    <row r="31" spans="1:34" ht="16.5">
      <c r="A31" s="195" t="s">
        <v>15</v>
      </c>
      <c r="B31" s="203">
        <f>M31+X31</f>
        <v>5666000</v>
      </c>
      <c r="C31" s="191">
        <f t="shared" si="2"/>
        <v>15555186.609999999</v>
      </c>
      <c r="D31" s="180">
        <f>O31+Z31</f>
        <v>10858159.619999999</v>
      </c>
      <c r="E31" s="203">
        <f t="shared" si="3"/>
        <v>7556871.5800000001</v>
      </c>
      <c r="F31" s="203">
        <f t="shared" si="4"/>
        <v>6174063.5800000001</v>
      </c>
      <c r="G31" s="264">
        <f t="shared" si="5"/>
        <v>6342348.0099999998</v>
      </c>
      <c r="H31" s="268">
        <f t="shared" si="6"/>
        <v>111.93695746558419</v>
      </c>
      <c r="I31" s="268">
        <f t="shared" si="7"/>
        <v>40.773204263089198</v>
      </c>
      <c r="J31" s="203">
        <f t="shared" si="8"/>
        <v>-9212838.5999999996</v>
      </c>
      <c r="K31" s="203">
        <f t="shared" si="9"/>
        <v>-1214523.5700000003</v>
      </c>
      <c r="L31" s="203">
        <f t="shared" si="10"/>
        <v>168284.4299999997</v>
      </c>
      <c r="M31" s="176">
        <v>5366000</v>
      </c>
      <c r="N31" s="177">
        <v>14270917.029999999</v>
      </c>
      <c r="O31" s="175">
        <v>10025994.35</v>
      </c>
      <c r="P31" s="175">
        <v>7026498.9000000004</v>
      </c>
      <c r="Q31" s="175">
        <v>5815690.9000000004</v>
      </c>
      <c r="R31" s="262">
        <v>5819961.29</v>
      </c>
      <c r="S31" s="267">
        <f t="shared" si="11"/>
        <v>108.45995695117405</v>
      </c>
      <c r="T31" s="192">
        <f t="shared" si="27"/>
        <v>40.781971318068834</v>
      </c>
      <c r="U31" s="186">
        <f t="shared" si="12"/>
        <v>-8450955.7399999984</v>
      </c>
      <c r="V31" s="175">
        <f t="shared" si="13"/>
        <v>-1206537.6100000003</v>
      </c>
      <c r="W31" s="175">
        <f t="shared" si="14"/>
        <v>4270.3899999996647</v>
      </c>
      <c r="X31" s="176">
        <v>300000</v>
      </c>
      <c r="Y31" s="177">
        <v>1284269.58</v>
      </c>
      <c r="Z31" s="181">
        <v>832165.27</v>
      </c>
      <c r="AA31" s="181">
        <v>530372.68000000005</v>
      </c>
      <c r="AB31" s="181">
        <v>358372.68</v>
      </c>
      <c r="AC31" s="262">
        <v>522386.72</v>
      </c>
      <c r="AD31" s="258">
        <f>AC31/X31*100</f>
        <v>174.12890666666664</v>
      </c>
      <c r="AE31" s="261">
        <f t="shared" si="16"/>
        <v>40.675783973642041</v>
      </c>
      <c r="AF31" s="235">
        <f t="shared" si="17"/>
        <v>-761882.8600000001</v>
      </c>
      <c r="AG31" s="237">
        <f t="shared" si="18"/>
        <v>-7985.9600000000792</v>
      </c>
      <c r="AH31" s="247">
        <f t="shared" si="19"/>
        <v>164014.03999999998</v>
      </c>
    </row>
    <row r="32" spans="1:34" ht="16.5">
      <c r="A32" s="194" t="s">
        <v>16</v>
      </c>
      <c r="B32" s="201">
        <f>M32+X32</f>
        <v>1061885</v>
      </c>
      <c r="C32" s="201">
        <f>N32+Y32</f>
        <v>1573003.8900000001</v>
      </c>
      <c r="D32" s="201">
        <f>O32+Z32</f>
        <v>531682.26</v>
      </c>
      <c r="E32" s="201">
        <f t="shared" si="3"/>
        <v>1061885</v>
      </c>
      <c r="F32" s="201">
        <f t="shared" si="4"/>
        <v>292173</v>
      </c>
      <c r="G32" s="265">
        <f t="shared" si="5"/>
        <v>255021.90000000002</v>
      </c>
      <c r="H32" s="201">
        <f>S32+AD32</f>
        <v>23.558802506862797</v>
      </c>
      <c r="I32" s="201">
        <f>T32+AE32</f>
        <v>20.519717864838782</v>
      </c>
      <c r="J32" s="201">
        <f>U32+AF32</f>
        <v>-1317981.99</v>
      </c>
      <c r="K32" s="201">
        <f>V32+AG32</f>
        <v>-806863.1</v>
      </c>
      <c r="L32" s="201">
        <f>W32+AH32</f>
        <v>-37151.099999999984</v>
      </c>
      <c r="M32" s="172">
        <v>1061885</v>
      </c>
      <c r="N32" s="182">
        <v>1219156.0900000001</v>
      </c>
      <c r="O32" s="186">
        <v>528682.26</v>
      </c>
      <c r="P32" s="186">
        <v>1061885</v>
      </c>
      <c r="Q32" s="186">
        <v>292173</v>
      </c>
      <c r="R32" s="259">
        <v>250167.39</v>
      </c>
      <c r="S32" s="267">
        <f t="shared" si="11"/>
        <v>23.558802506862797</v>
      </c>
      <c r="T32" s="192">
        <f t="shared" si="27"/>
        <v>20.519717864838782</v>
      </c>
      <c r="U32" s="186">
        <f t="shared" si="12"/>
        <v>-968988.70000000007</v>
      </c>
      <c r="V32" s="186">
        <f t="shared" si="13"/>
        <v>-811717.61</v>
      </c>
      <c r="W32" s="186">
        <f t="shared" si="14"/>
        <v>-42005.609999999986</v>
      </c>
      <c r="X32" s="172">
        <v>0</v>
      </c>
      <c r="Y32" s="173">
        <v>353847.8</v>
      </c>
      <c r="Z32" s="174">
        <v>3000</v>
      </c>
      <c r="AA32" s="174">
        <v>0</v>
      </c>
      <c r="AB32" s="174">
        <v>0</v>
      </c>
      <c r="AC32" s="259">
        <v>4854.51</v>
      </c>
      <c r="AD32" s="258"/>
      <c r="AE32" s="258"/>
      <c r="AF32" s="235">
        <f t="shared" si="17"/>
        <v>-348993.29</v>
      </c>
      <c r="AG32" s="235">
        <f t="shared" si="18"/>
        <v>4854.51</v>
      </c>
      <c r="AH32" s="246">
        <f t="shared" si="19"/>
        <v>4854.51</v>
      </c>
    </row>
    <row r="33" spans="1:34" ht="16.5">
      <c r="A33" s="194" t="s">
        <v>17</v>
      </c>
      <c r="B33" s="201">
        <f>B34+B36+B37+B35</f>
        <v>0</v>
      </c>
      <c r="C33" s="191">
        <f t="shared" si="2"/>
        <v>1884334.33</v>
      </c>
      <c r="D33" s="202">
        <f>D34+D36+D37</f>
        <v>905701.17</v>
      </c>
      <c r="E33" s="201">
        <f t="shared" si="3"/>
        <v>168088.74</v>
      </c>
      <c r="F33" s="201">
        <f t="shared" si="4"/>
        <v>168088.74</v>
      </c>
      <c r="G33" s="265">
        <f t="shared" si="5"/>
        <v>607322.20000000007</v>
      </c>
      <c r="H33" s="266"/>
      <c r="I33" s="266">
        <f t="shared" si="7"/>
        <v>32.230066094481231</v>
      </c>
      <c r="J33" s="201">
        <f t="shared" si="8"/>
        <v>-1277012.1299999999</v>
      </c>
      <c r="K33" s="201">
        <f t="shared" si="9"/>
        <v>439233.46000000008</v>
      </c>
      <c r="L33" s="201">
        <f t="shared" si="10"/>
        <v>439233.46000000008</v>
      </c>
      <c r="M33" s="172">
        <f>M34+M35+M36+M37</f>
        <v>0</v>
      </c>
      <c r="N33" s="172">
        <f>N34+N35+N36+N37</f>
        <v>139195</v>
      </c>
      <c r="O33" s="172">
        <f>O34+O35+O36+O37</f>
        <v>0</v>
      </c>
      <c r="P33" s="172">
        <f>P34+P35+P36+P37</f>
        <v>0</v>
      </c>
      <c r="Q33" s="172">
        <f>Q34+Q35+Q36+Q37</f>
        <v>0</v>
      </c>
      <c r="R33" s="257">
        <f>R34+R36+R37</f>
        <v>41443.410000000003</v>
      </c>
      <c r="S33" s="267"/>
      <c r="T33" s="192"/>
      <c r="U33" s="186">
        <f t="shared" si="12"/>
        <v>-97751.59</v>
      </c>
      <c r="V33" s="186">
        <f t="shared" si="13"/>
        <v>41443.410000000003</v>
      </c>
      <c r="W33" s="186">
        <f t="shared" si="14"/>
        <v>41443.410000000003</v>
      </c>
      <c r="X33" s="172">
        <f>X34+X35+X36+X37</f>
        <v>0</v>
      </c>
      <c r="Y33" s="172">
        <f>Y34+Y35+Y36+Y37</f>
        <v>1745139.33</v>
      </c>
      <c r="Z33" s="172">
        <f>Z34+Z35+Z36+Z37</f>
        <v>905701.17</v>
      </c>
      <c r="AA33" s="172">
        <f>AA34+AA35+AA36+AA37</f>
        <v>168088.74</v>
      </c>
      <c r="AB33" s="172">
        <f>AB34+AB35+AB36+AB37</f>
        <v>168088.74</v>
      </c>
      <c r="AC33" s="257">
        <f>AC34+AC36+AC37+AC35</f>
        <v>565878.79</v>
      </c>
      <c r="AD33" s="258"/>
      <c r="AE33" s="258">
        <f t="shared" si="16"/>
        <v>32.425994891766038</v>
      </c>
      <c r="AF33" s="235">
        <f t="shared" si="17"/>
        <v>-1179260.54</v>
      </c>
      <c r="AG33" s="235">
        <f t="shared" si="18"/>
        <v>397790.05000000005</v>
      </c>
      <c r="AH33" s="246">
        <f t="shared" si="19"/>
        <v>397790.05000000005</v>
      </c>
    </row>
    <row r="34" spans="1:34" ht="16.5">
      <c r="A34" s="195" t="s">
        <v>18</v>
      </c>
      <c r="B34" s="203">
        <f>M34+X34</f>
        <v>0</v>
      </c>
      <c r="C34" s="191">
        <f t="shared" si="2"/>
        <v>0</v>
      </c>
      <c r="D34" s="180">
        <f>O34++Z34</f>
        <v>0</v>
      </c>
      <c r="E34" s="203">
        <f t="shared" si="3"/>
        <v>0</v>
      </c>
      <c r="F34" s="203">
        <f t="shared" si="4"/>
        <v>0</v>
      </c>
      <c r="G34" s="264">
        <f t="shared" si="5"/>
        <v>9022.7099999999991</v>
      </c>
      <c r="H34" s="268"/>
      <c r="I34" s="268"/>
      <c r="J34" s="203">
        <f t="shared" si="8"/>
        <v>9022.7099999999991</v>
      </c>
      <c r="K34" s="203">
        <f t="shared" si="9"/>
        <v>9022.7099999999991</v>
      </c>
      <c r="L34" s="203">
        <f t="shared" si="10"/>
        <v>9022.7099999999991</v>
      </c>
      <c r="M34" s="176"/>
      <c r="N34" s="177"/>
      <c r="O34" s="175"/>
      <c r="P34" s="175"/>
      <c r="Q34" s="175"/>
      <c r="R34" s="260">
        <v>-451.17</v>
      </c>
      <c r="S34" s="267"/>
      <c r="T34" s="192"/>
      <c r="U34" s="186">
        <f t="shared" si="12"/>
        <v>-451.17</v>
      </c>
      <c r="V34" s="175">
        <f t="shared" si="13"/>
        <v>-451.17</v>
      </c>
      <c r="W34" s="175">
        <f t="shared" si="14"/>
        <v>-451.17</v>
      </c>
      <c r="X34" s="176">
        <v>0</v>
      </c>
      <c r="Y34" s="177">
        <f>X34</f>
        <v>0</v>
      </c>
      <c r="Z34" s="175">
        <v>0</v>
      </c>
      <c r="AA34" s="175"/>
      <c r="AB34" s="175"/>
      <c r="AC34" s="262">
        <v>9473.8799999999992</v>
      </c>
      <c r="AD34" s="258"/>
      <c r="AE34" s="261"/>
      <c r="AF34" s="235">
        <f t="shared" si="17"/>
        <v>9473.8799999999992</v>
      </c>
      <c r="AG34" s="237">
        <f t="shared" si="18"/>
        <v>9473.8799999999992</v>
      </c>
      <c r="AH34" s="247">
        <f t="shared" si="19"/>
        <v>9473.8799999999992</v>
      </c>
    </row>
    <row r="35" spans="1:34" ht="16.5">
      <c r="A35" s="195" t="s">
        <v>65</v>
      </c>
      <c r="B35" s="203">
        <f>M35+X35</f>
        <v>0</v>
      </c>
      <c r="C35" s="191"/>
      <c r="D35" s="180"/>
      <c r="E35" s="203">
        <f>P35+AA35</f>
        <v>0</v>
      </c>
      <c r="F35" s="203">
        <f>Q35+AB35</f>
        <v>0</v>
      </c>
      <c r="G35" s="264">
        <f>R35+AC35</f>
        <v>36120.160000000003</v>
      </c>
      <c r="H35" s="268"/>
      <c r="I35" s="268"/>
      <c r="J35" s="203"/>
      <c r="K35" s="203">
        <f t="shared" si="9"/>
        <v>36120.160000000003</v>
      </c>
      <c r="L35" s="203">
        <f t="shared" si="10"/>
        <v>36120.160000000003</v>
      </c>
      <c r="M35" s="176"/>
      <c r="N35" s="177"/>
      <c r="O35" s="175"/>
      <c r="P35" s="175"/>
      <c r="Q35" s="175"/>
      <c r="R35" s="260"/>
      <c r="S35" s="267"/>
      <c r="T35" s="192"/>
      <c r="U35" s="186"/>
      <c r="V35" s="175"/>
      <c r="W35" s="175"/>
      <c r="X35" s="176"/>
      <c r="Y35" s="177"/>
      <c r="Z35" s="175"/>
      <c r="AA35" s="175"/>
      <c r="AB35" s="175"/>
      <c r="AC35" s="262">
        <v>36120.160000000003</v>
      </c>
      <c r="AD35" s="258"/>
      <c r="AE35" s="261"/>
      <c r="AF35" s="235"/>
      <c r="AG35" s="237">
        <f t="shared" si="18"/>
        <v>36120.160000000003</v>
      </c>
      <c r="AH35" s="247">
        <f t="shared" si="19"/>
        <v>36120.160000000003</v>
      </c>
    </row>
    <row r="36" spans="1:34" ht="16.5">
      <c r="A36" s="195" t="s">
        <v>19</v>
      </c>
      <c r="B36" s="203">
        <f>M36+X36</f>
        <v>0</v>
      </c>
      <c r="C36" s="191">
        <f t="shared" si="2"/>
        <v>1884334.33</v>
      </c>
      <c r="D36" s="180">
        <f>O36++Z36</f>
        <v>905701.17</v>
      </c>
      <c r="E36" s="203">
        <f t="shared" si="3"/>
        <v>168088.74</v>
      </c>
      <c r="F36" s="203">
        <f t="shared" si="4"/>
        <v>168088.74</v>
      </c>
      <c r="G36" s="264">
        <f t="shared" si="5"/>
        <v>562179.32999999996</v>
      </c>
      <c r="H36" s="268"/>
      <c r="I36" s="268">
        <f t="shared" si="7"/>
        <v>29.834372863121374</v>
      </c>
      <c r="J36" s="203">
        <f t="shared" si="8"/>
        <v>-1322155</v>
      </c>
      <c r="K36" s="203">
        <f t="shared" si="9"/>
        <v>394090.58999999997</v>
      </c>
      <c r="L36" s="203">
        <f t="shared" si="10"/>
        <v>394090.58999999997</v>
      </c>
      <c r="M36" s="176">
        <v>0</v>
      </c>
      <c r="N36" s="177">
        <v>139195</v>
      </c>
      <c r="O36" s="175">
        <v>0</v>
      </c>
      <c r="P36" s="175">
        <v>0</v>
      </c>
      <c r="Q36" s="175"/>
      <c r="R36" s="262">
        <v>41894.58</v>
      </c>
      <c r="S36" s="267"/>
      <c r="T36" s="192"/>
      <c r="U36" s="186">
        <f t="shared" si="12"/>
        <v>-97300.42</v>
      </c>
      <c r="V36" s="175">
        <f t="shared" si="13"/>
        <v>41894.58</v>
      </c>
      <c r="W36" s="175">
        <f t="shared" si="14"/>
        <v>41894.58</v>
      </c>
      <c r="X36" s="176">
        <v>0</v>
      </c>
      <c r="Y36" s="177">
        <v>1745139.33</v>
      </c>
      <c r="Z36" s="178">
        <v>905701.17</v>
      </c>
      <c r="AA36" s="178">
        <v>168088.74</v>
      </c>
      <c r="AB36" s="178">
        <v>168088.74</v>
      </c>
      <c r="AC36" s="262">
        <v>520284.75</v>
      </c>
      <c r="AD36" s="258"/>
      <c r="AE36" s="261">
        <f t="shared" si="16"/>
        <v>29.813364529467112</v>
      </c>
      <c r="AF36" s="235">
        <f t="shared" si="17"/>
        <v>-1224854.58</v>
      </c>
      <c r="AG36" s="237">
        <f t="shared" si="18"/>
        <v>352196.01</v>
      </c>
      <c r="AH36" s="247">
        <f t="shared" si="19"/>
        <v>352196.01</v>
      </c>
    </row>
    <row r="37" spans="1:34" ht="17.25" thickBot="1">
      <c r="A37" s="199" t="s">
        <v>38</v>
      </c>
      <c r="B37" s="225">
        <f>M37+X37</f>
        <v>0</v>
      </c>
      <c r="C37" s="226">
        <f t="shared" si="2"/>
        <v>0</v>
      </c>
      <c r="D37" s="227">
        <f>O37++Z37</f>
        <v>0</v>
      </c>
      <c r="E37" s="225">
        <f t="shared" si="3"/>
        <v>0</v>
      </c>
      <c r="F37" s="225">
        <f t="shared" si="4"/>
        <v>0</v>
      </c>
      <c r="G37" s="275">
        <f t="shared" si="5"/>
        <v>0</v>
      </c>
      <c r="H37" s="276"/>
      <c r="I37" s="276"/>
      <c r="J37" s="225">
        <f t="shared" si="8"/>
        <v>0</v>
      </c>
      <c r="K37" s="225">
        <f t="shared" si="9"/>
        <v>0</v>
      </c>
      <c r="L37" s="225">
        <f t="shared" si="10"/>
        <v>0</v>
      </c>
      <c r="M37" s="228"/>
      <c r="N37" s="229"/>
      <c r="O37" s="281"/>
      <c r="P37" s="281"/>
      <c r="Q37" s="281"/>
      <c r="R37" s="277"/>
      <c r="S37" s="278"/>
      <c r="T37" s="279"/>
      <c r="U37" s="280">
        <f t="shared" si="12"/>
        <v>0</v>
      </c>
      <c r="V37" s="281">
        <f t="shared" si="13"/>
        <v>0</v>
      </c>
      <c r="W37" s="281">
        <f t="shared" si="14"/>
        <v>0</v>
      </c>
      <c r="X37" s="228">
        <v>0</v>
      </c>
      <c r="Y37" s="229">
        <v>0</v>
      </c>
      <c r="Z37" s="230">
        <v>0</v>
      </c>
      <c r="AA37" s="230"/>
      <c r="AB37" s="230"/>
      <c r="AC37" s="282"/>
      <c r="AD37" s="283"/>
      <c r="AE37" s="284"/>
      <c r="AF37" s="285">
        <f t="shared" si="17"/>
        <v>0</v>
      </c>
      <c r="AG37" s="239">
        <f t="shared" si="18"/>
        <v>0</v>
      </c>
      <c r="AH37" s="248">
        <f t="shared" si="19"/>
        <v>0</v>
      </c>
    </row>
    <row r="38" spans="1:34" ht="21.75" customHeight="1" thickBot="1">
      <c r="A38" s="200" t="s">
        <v>20</v>
      </c>
      <c r="B38" s="231">
        <f>M38+X38</f>
        <v>228281542.28</v>
      </c>
      <c r="C38" s="232">
        <f t="shared" si="2"/>
        <v>308147687.21999997</v>
      </c>
      <c r="D38" s="231">
        <f>O38+Z38</f>
        <v>217838733.09999999</v>
      </c>
      <c r="E38" s="253">
        <f t="shared" si="3"/>
        <v>256020876.82000002</v>
      </c>
      <c r="F38" s="255">
        <f>Q38+AB38</f>
        <v>130331313.95999999</v>
      </c>
      <c r="G38" s="207">
        <f t="shared" si="5"/>
        <v>146900026.96999997</v>
      </c>
      <c r="H38" s="168">
        <f t="shared" si="6"/>
        <v>64.350374324096222</v>
      </c>
      <c r="I38" s="168">
        <f t="shared" si="7"/>
        <v>47.671955060016948</v>
      </c>
      <c r="J38" s="183">
        <f t="shared" si="8"/>
        <v>-161247660.25</v>
      </c>
      <c r="K38" s="231">
        <f>G38-E38</f>
        <v>-109120849.85000005</v>
      </c>
      <c r="L38" s="256">
        <f t="shared" si="10"/>
        <v>16568713.009999976</v>
      </c>
      <c r="M38" s="254">
        <f t="shared" ref="M38:AC38" si="34">M5</f>
        <v>129446916</v>
      </c>
      <c r="N38" s="233">
        <f t="shared" si="34"/>
        <v>201992479.33999997</v>
      </c>
      <c r="O38" s="233">
        <f t="shared" si="34"/>
        <v>146767134.88999999</v>
      </c>
      <c r="P38" s="233">
        <f t="shared" si="34"/>
        <v>144127216.92000002</v>
      </c>
      <c r="Q38" s="233">
        <f t="shared" si="34"/>
        <v>81252561.420000002</v>
      </c>
      <c r="R38" s="206">
        <f t="shared" si="34"/>
        <v>96001723.75999999</v>
      </c>
      <c r="S38" s="169">
        <f t="shared" si="11"/>
        <v>74.163005752875549</v>
      </c>
      <c r="T38" s="170">
        <f t="shared" si="27"/>
        <v>47.527375313021892</v>
      </c>
      <c r="U38" s="171">
        <f t="shared" si="12"/>
        <v>-105990755.57999998</v>
      </c>
      <c r="V38" s="286">
        <f t="shared" si="13"/>
        <v>-48125493.160000026</v>
      </c>
      <c r="W38" s="286">
        <f t="shared" si="14"/>
        <v>14749162.339999989</v>
      </c>
      <c r="X38" s="233">
        <f t="shared" si="34"/>
        <v>98834626.280000001</v>
      </c>
      <c r="Y38" s="233">
        <f t="shared" si="34"/>
        <v>106155207.88</v>
      </c>
      <c r="Z38" s="233">
        <f t="shared" si="34"/>
        <v>71071598.210000008</v>
      </c>
      <c r="AA38" s="233">
        <f t="shared" si="34"/>
        <v>111893659.90000001</v>
      </c>
      <c r="AB38" s="238">
        <f t="shared" si="34"/>
        <v>49078752.539999992</v>
      </c>
      <c r="AC38" s="240">
        <f t="shared" si="34"/>
        <v>50898303.209999993</v>
      </c>
      <c r="AD38" s="241">
        <f>AC38/X38*100</f>
        <v>51.498452643311801</v>
      </c>
      <c r="AE38" s="242">
        <f t="shared" si="16"/>
        <v>47.947061878995584</v>
      </c>
      <c r="AF38" s="243">
        <f t="shared" si="17"/>
        <v>-55256904.670000002</v>
      </c>
      <c r="AG38" s="244">
        <f t="shared" si="18"/>
        <v>-60995356.690000013</v>
      </c>
      <c r="AH38" s="245">
        <f t="shared" si="19"/>
        <v>1819550.6700000018</v>
      </c>
    </row>
    <row r="39" spans="1:34" ht="21.75" customHeight="1">
      <c r="A39" s="3"/>
      <c r="B39" s="4"/>
      <c r="C39" s="4"/>
      <c r="D39" s="3"/>
      <c r="E39" s="3"/>
      <c r="F39" s="3"/>
      <c r="G39" s="208"/>
      <c r="H39" s="3"/>
      <c r="I39" s="3"/>
      <c r="J39" s="3"/>
      <c r="K39" s="3"/>
      <c r="L39" s="3"/>
      <c r="M39" s="3"/>
      <c r="N39" s="3"/>
      <c r="O39" s="4"/>
      <c r="P39" s="4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4">
      <c r="A40" s="5"/>
      <c r="B40" s="4"/>
      <c r="C40" s="4"/>
      <c r="D40" s="3"/>
      <c r="E40" s="3"/>
      <c r="F40" s="3"/>
      <c r="G40" s="208"/>
      <c r="H40" s="11"/>
      <c r="I40" s="11"/>
      <c r="J40" s="11"/>
      <c r="K40" s="11"/>
      <c r="L40" s="11"/>
      <c r="M40" s="3"/>
      <c r="N40" s="3"/>
      <c r="O40" s="64"/>
      <c r="P40" s="64"/>
      <c r="Q40" s="64"/>
      <c r="R40" s="3"/>
      <c r="S40" s="3"/>
      <c r="T40" s="3"/>
      <c r="U40" s="3"/>
      <c r="V40" s="3"/>
      <c r="W40" s="3"/>
      <c r="X40" s="3"/>
      <c r="Y40" s="3"/>
      <c r="Z40" s="4"/>
      <c r="AA40" s="4"/>
      <c r="AB40" s="4"/>
      <c r="AC40" s="4"/>
      <c r="AD40" s="11"/>
      <c r="AE40" s="3"/>
    </row>
    <row r="41" spans="1:34" hidden="1"/>
  </sheetData>
  <mergeCells count="5">
    <mergeCell ref="A3:A4"/>
    <mergeCell ref="X3:AH3"/>
    <mergeCell ref="B3:L3"/>
    <mergeCell ref="M3:W3"/>
    <mergeCell ref="A1:AH2"/>
  </mergeCells>
  <pageMargins left="0" right="0" top="0" bottom="0" header="0" footer="0"/>
  <pageSetup paperSize="9" scale="63" fitToWidth="2" fitToHeight="0" orientation="landscape" r:id="rId1"/>
  <colBreaks count="1" manualBreakCount="1">
    <brk id="23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01 01 2014</vt:lpstr>
      <vt:lpstr>01012015</vt:lpstr>
      <vt:lpstr>0104</vt:lpstr>
      <vt:lpstr>0105</vt:lpstr>
      <vt:lpstr>01,07,2016</vt:lpstr>
      <vt:lpstr>'01,07,2016'!Заголовки_для_печати</vt:lpstr>
      <vt:lpstr>'01012015'!Заголовки_для_печати</vt:lpstr>
      <vt:lpstr>'0104'!Заголовки_для_печати</vt:lpstr>
      <vt:lpstr>'0105'!Заголовки_для_печати</vt:lpstr>
      <vt:lpstr>'01 01 2014'!Область_печати</vt:lpstr>
      <vt:lpstr>'01,07,2016'!Область_печати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 Вячеславович Лапшин</cp:lastModifiedBy>
  <cp:lastPrinted>2016-07-28T09:57:07Z</cp:lastPrinted>
  <dcterms:created xsi:type="dcterms:W3CDTF">1996-10-08T23:32:33Z</dcterms:created>
  <dcterms:modified xsi:type="dcterms:W3CDTF">2016-07-29T10:28:10Z</dcterms:modified>
</cp:coreProperties>
</file>